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65" windowHeight="12330" activeTab="0"/>
  </bookViews>
  <sheets>
    <sheet name="Income" sheetId="1" r:id="rId1"/>
    <sheet name="Affordability" sheetId="2" r:id="rId2"/>
    <sheet name="Help Notes" sheetId="3" r:id="rId3"/>
  </sheets>
  <definedNames>
    <definedName name="_xlfn.IFERROR" hidden="1">#NAME?</definedName>
    <definedName name="Content">#REF!</definedName>
    <definedName name="_xlnm.Print_Area" localSheetId="1">'Affordability'!$A$1:$AA$123</definedName>
    <definedName name="_xlnm.Print_Area" localSheetId="0">'Income'!$A$6:$I$77</definedName>
  </definedNames>
  <calcPr fullCalcOnLoad="1"/>
</workbook>
</file>

<file path=xl/comments1.xml><?xml version="1.0" encoding="utf-8"?>
<comments xmlns="http://schemas.openxmlformats.org/spreadsheetml/2006/main">
  <authors>
    <author>Rafia Khatun</author>
  </authors>
  <commentList>
    <comment ref="A52" authorId="0">
      <text>
        <r>
          <rPr>
            <sz val="9"/>
            <rFont val="Tahoma"/>
            <family val="2"/>
          </rPr>
          <t>Only enter deductions to be excluded from gross income</t>
        </r>
      </text>
    </comment>
  </commentList>
</comments>
</file>

<file path=xl/comments2.xml><?xml version="1.0" encoding="utf-8"?>
<comments xmlns="http://schemas.openxmlformats.org/spreadsheetml/2006/main">
  <authors>
    <author>Colin Pytel</author>
  </authors>
  <commentList>
    <comment ref="A33" authorId="0">
      <text>
        <r>
          <rPr>
            <sz val="9"/>
            <rFont val="Tahoma"/>
            <family val="2"/>
          </rPr>
          <t xml:space="preserve">Complete when the customer has an Interest-only mortgage &amp; affordability has not been assessed on a capital &amp; interest basis.
</t>
        </r>
      </text>
    </comment>
    <comment ref="D22" authorId="0">
      <text>
        <r>
          <rPr>
            <sz val="9"/>
            <rFont val="Tahoma"/>
            <family val="2"/>
          </rPr>
          <t xml:space="preserve">The retirement status of </t>
        </r>
        <r>
          <rPr>
            <b/>
            <u val="single"/>
            <sz val="9"/>
            <rFont val="Tahoma"/>
            <family val="2"/>
          </rPr>
          <t>both</t>
        </r>
        <r>
          <rPr>
            <sz val="9"/>
            <rFont val="Tahoma"/>
            <family val="2"/>
          </rPr>
          <t xml:space="preserve"> applicants must be completed to ensure that tax is correctly deducted.  If there is no second applicant "N/A" can be selected.
</t>
        </r>
      </text>
    </comment>
    <comment ref="X39" authorId="0">
      <text>
        <r>
          <rPr>
            <sz val="9"/>
            <rFont val="Tahoma"/>
            <family val="2"/>
          </rPr>
          <t xml:space="preserve">Please note that the ONS data in respect of motor vehicle running costs &amp; public transport is statistical based on an average English household.  In the notes to expenditure please provide any additional supporting information, e.g. Company car, walk to work, two vehicles, etc..
</t>
        </r>
      </text>
    </comment>
    <comment ref="X46" authorId="0">
      <text>
        <r>
          <rPr>
            <sz val="9"/>
            <rFont val="Tahoma"/>
            <family val="2"/>
          </rPr>
          <t xml:space="preserve">Including rail and bus fares, etc.
</t>
        </r>
      </text>
    </comment>
    <comment ref="A67" authorId="0">
      <text>
        <r>
          <rPr>
            <sz val="9"/>
            <rFont val="Tahoma"/>
            <family val="2"/>
          </rPr>
          <t xml:space="preserve">
For new borrowing, complete the top line marked ‘New Loan’.  If the loan is a further advance current borrowing should be entered by sub account number into lines 1 to 7.  All cells in yellow can be varied to assist in assessing affordability.  The monthly CMS figures are on an Interest-only basis, however, the monthly CMS on a capital and interest repayment basis are also shown in the separate table to the right of this table.</t>
        </r>
      </text>
    </comment>
    <comment ref="P105" authorId="0">
      <text>
        <r>
          <rPr>
            <sz val="9"/>
            <rFont val="Tahoma"/>
            <family val="2"/>
          </rPr>
          <t xml:space="preserve">2 months Interest-only mortgage payments at the stress rate have been assumed for the void and calculated as a monthly commitment.
</t>
        </r>
      </text>
    </comment>
    <comment ref="H70" authorId="0">
      <text>
        <r>
          <rPr>
            <sz val="9"/>
            <rFont val="Tahoma"/>
            <family val="2"/>
          </rPr>
          <t>The Stress rate is 2% above the pay rate or 5.5%, whichever is the higher.</t>
        </r>
        <r>
          <rPr>
            <sz val="9"/>
            <rFont val="Tahoma"/>
            <family val="2"/>
          </rPr>
          <t xml:space="preserve">
</t>
        </r>
      </text>
    </comment>
    <comment ref="F118" authorId="0">
      <text>
        <r>
          <rPr>
            <sz val="9"/>
            <rFont val="Tahoma"/>
            <family val="2"/>
          </rPr>
          <t xml:space="preserve">BTL's became subject to PRA regulation on 1st January 2017.  BTL's taken out before this date are </t>
        </r>
        <r>
          <rPr>
            <b/>
            <u val="single"/>
            <sz val="9"/>
            <rFont val="Tahoma"/>
            <family val="2"/>
          </rPr>
          <t>not</t>
        </r>
        <r>
          <rPr>
            <sz val="9"/>
            <rFont val="Tahoma"/>
            <family val="2"/>
          </rPr>
          <t xml:space="preserve"> subject to this regulation unless there is additional borrowing, however the Society only applies this exclusion to existing LBS BTL's and not remortgage cases which should be assessed in the same way as new BTL mortgages.
</t>
        </r>
      </text>
    </comment>
    <comment ref="P108" authorId="0">
      <text>
        <r>
          <rPr>
            <sz val="9"/>
            <rFont val="Tahoma"/>
            <family val="2"/>
          </rPr>
          <t xml:space="preserve">In Wales landlords have to pay a mandatory Online fee of £33.50 or for paper applications £80.50.  In England licence fees may vary by council.
</t>
        </r>
      </text>
    </comment>
    <comment ref="P99" authorId="0">
      <text>
        <r>
          <rPr>
            <sz val="9"/>
            <rFont val="Tahoma"/>
            <family val="2"/>
          </rPr>
          <t xml:space="preserve">A minimum of 10% of the expected Gross Monthly Rental Income has been assumed for letting fees.  If greater insert the actual letting fee.  If the applicant does not have to pay management and letting fees click "No" and insert 0.00.
</t>
        </r>
      </text>
    </comment>
    <comment ref="D116" authorId="0">
      <text>
        <r>
          <rPr>
            <sz val="9"/>
            <rFont val="Tahoma"/>
            <family val="2"/>
          </rPr>
          <t xml:space="preserve">Providing GROSS rental coverage plus 90% of their net disposable monthly income is 130% or greater for BASIC rate tax payers and 165% or greater for HIGHER rate tax payers than the interest-only mortgage payment at the stressed rate this is acceptable.  
</t>
        </r>
      </text>
    </comment>
    <comment ref="I116" authorId="0">
      <text>
        <r>
          <rPr>
            <sz val="9"/>
            <rFont val="Tahoma"/>
            <family val="2"/>
          </rPr>
          <t xml:space="preserve">Providing GROSS rental coverage plus 90% of their net disposable monthly income is 130% or greater for BASIC rate tax payers and 165% or greater for HIGHER rate tax payers than the capital repayment CMS at the stressed rate this is acceptable.  
</t>
        </r>
      </text>
    </comment>
    <comment ref="D108" authorId="0">
      <text>
        <r>
          <rPr>
            <sz val="9"/>
            <rFont val="Tahoma"/>
            <family val="2"/>
          </rPr>
          <t xml:space="preserve">GROSS rental coverage must be equal to or greater than 130% of the interest-only mortgage payment at the stress rate for BASIC RATE tax payers and 165% for HIGHER RATE tax payers to be acceptable to the Society.  If the GROSS rental coverage is insufficient, GROSS rental plus 90% of net disposable monthly income can be taken into account - see Rental coverage incl. income at stress rate cell.
</t>
        </r>
      </text>
    </comment>
    <comment ref="I108" authorId="0">
      <text>
        <r>
          <rPr>
            <sz val="9"/>
            <rFont val="Tahoma"/>
            <family val="2"/>
          </rPr>
          <t xml:space="preserve">GROSS rental coverage must be equal to or greater than 130% of the capital repayment CMS at the stress rate for BASIC RATE tax payers and 165% for HIGHER RATE tax payers to be acceptable to the Society.  If the GROSS rental coverage is insufficient, GROSS rental plus 90% of net disposable monthly income can be taken into account - see Rental coverage incl. income at stress rate cell.
</t>
        </r>
      </text>
    </comment>
    <comment ref="A32" authorId="0">
      <text>
        <r>
          <rPr>
            <sz val="9"/>
            <rFont val="Tahoma"/>
            <family val="2"/>
          </rPr>
          <t xml:space="preserve">Including Ground Rent &amp; Service Charges.
</t>
        </r>
      </text>
    </comment>
    <comment ref="A37" authorId="0">
      <text>
        <r>
          <rPr>
            <sz val="9"/>
            <rFont val="Tahoma"/>
            <family val="2"/>
          </rPr>
          <t xml:space="preserve">Typical monthly shopping, including alcohol purchased for home consumption.
</t>
        </r>
      </text>
    </comment>
  </commentList>
</comments>
</file>

<file path=xl/sharedStrings.xml><?xml version="1.0" encoding="utf-8"?>
<sst xmlns="http://schemas.openxmlformats.org/spreadsheetml/2006/main" count="829" uniqueCount="468">
  <si>
    <t>Applicant 1</t>
  </si>
  <si>
    <t>Applicant 2</t>
  </si>
  <si>
    <t>Child Maintenance</t>
  </si>
  <si>
    <t>Total</t>
  </si>
  <si>
    <t>Council Tax</t>
  </si>
  <si>
    <t>Frequency</t>
  </si>
  <si>
    <t>Annual</t>
  </si>
  <si>
    <t>Totals</t>
  </si>
  <si>
    <t>Monthly</t>
  </si>
  <si>
    <t>Credit Cards</t>
  </si>
  <si>
    <t>Credit Card</t>
  </si>
  <si>
    <t>Balance</t>
  </si>
  <si>
    <t>%</t>
  </si>
  <si>
    <t>B</t>
  </si>
  <si>
    <t>Weekly</t>
  </si>
  <si>
    <t>Net Pay:</t>
  </si>
  <si>
    <t>Term</t>
  </si>
  <si>
    <t>AFFORDABILITY CHECK</t>
  </si>
  <si>
    <t>Applicant Name</t>
  </si>
  <si>
    <t>Account Number</t>
  </si>
  <si>
    <t>INCOME</t>
  </si>
  <si>
    <t>Total Annual Income After Tax</t>
  </si>
  <si>
    <t>Total Annual Spending</t>
  </si>
  <si>
    <t>Total Left Over</t>
  </si>
  <si>
    <t>Half-Yearly</t>
  </si>
  <si>
    <t>Date:</t>
  </si>
  <si>
    <t>Committed Expenditure</t>
  </si>
  <si>
    <t>Loans / HP</t>
  </si>
  <si>
    <t>Basic Essential Expenditure</t>
  </si>
  <si>
    <t>Buildings Insurance</t>
  </si>
  <si>
    <t>Life &amp; Health Assurance</t>
  </si>
  <si>
    <t>Basic Quality of Living Costs</t>
  </si>
  <si>
    <t xml:space="preserve"> </t>
  </si>
  <si>
    <t>Clothing</t>
  </si>
  <si>
    <t>Other</t>
  </si>
  <si>
    <t>Deductions</t>
  </si>
  <si>
    <t>Monthly Net Income</t>
  </si>
  <si>
    <t>% Used</t>
  </si>
  <si>
    <t>Self-employed (Share of Net Profits)</t>
  </si>
  <si>
    <t>Self-employed (Dividends)</t>
  </si>
  <si>
    <t>Guaranteed shift allowance</t>
  </si>
  <si>
    <t>Guaranteed car allowance</t>
  </si>
  <si>
    <t>Regular shift allowance</t>
  </si>
  <si>
    <t>Bursary (evidence required)</t>
  </si>
  <si>
    <t>Regular overtime</t>
  </si>
  <si>
    <t>Basic gross salary</t>
  </si>
  <si>
    <t>Annually</t>
  </si>
  <si>
    <t>Amount</t>
  </si>
  <si>
    <t>Used</t>
  </si>
  <si>
    <t>All Income</t>
  </si>
  <si>
    <t>Tax Code</t>
  </si>
  <si>
    <t>NI Rate (Primary threshold to upper earning limit)</t>
  </si>
  <si>
    <t>NI Rate (Above upper earnings limit)</t>
  </si>
  <si>
    <t>NIC Income Basic</t>
  </si>
  <si>
    <t>NIC Income Higher</t>
  </si>
  <si>
    <t>Tax Income Basic</t>
  </si>
  <si>
    <t>Tax Income Higher</t>
  </si>
  <si>
    <t>Total Deductions</t>
  </si>
  <si>
    <t>Expenditure</t>
  </si>
  <si>
    <t>Housing</t>
  </si>
  <si>
    <t>Comms</t>
  </si>
  <si>
    <t>Health</t>
  </si>
  <si>
    <t>Food</t>
  </si>
  <si>
    <t>Alcohol</t>
  </si>
  <si>
    <t>Recreation</t>
  </si>
  <si>
    <t>Transport</t>
  </si>
  <si>
    <t>Power</t>
  </si>
  <si>
    <t>Number of adults</t>
  </si>
  <si>
    <t>1 adult, 1 child</t>
  </si>
  <si>
    <t>C</t>
  </si>
  <si>
    <t>Number of children</t>
  </si>
  <si>
    <t>Lookup table</t>
  </si>
  <si>
    <t>1 Adult</t>
  </si>
  <si>
    <t>A</t>
  </si>
  <si>
    <t>1 adult, 0 children</t>
  </si>
  <si>
    <t>2 Adults</t>
  </si>
  <si>
    <t>1 Adult 1 Child</t>
  </si>
  <si>
    <t>1 adult, 2 children</t>
  </si>
  <si>
    <t>D</t>
  </si>
  <si>
    <t>1 Adult 2 Childs</t>
  </si>
  <si>
    <t>Communication</t>
  </si>
  <si>
    <t>2 adults, 0 children</t>
  </si>
  <si>
    <t>2 Adults 1 Child</t>
  </si>
  <si>
    <t>E</t>
  </si>
  <si>
    <t>2 adults, 1 child</t>
  </si>
  <si>
    <t>2 Adults 2 Childs</t>
  </si>
  <si>
    <t>F</t>
  </si>
  <si>
    <t>Food/Groceries</t>
  </si>
  <si>
    <t>2 adults, 2 children</t>
  </si>
  <si>
    <t>2 Adults 3 Childs</t>
  </si>
  <si>
    <t>G</t>
  </si>
  <si>
    <t>2 adults, 3 children</t>
  </si>
  <si>
    <t>HOUSEHOLD SIZE</t>
  </si>
  <si>
    <t>Other Income</t>
  </si>
  <si>
    <t>Annual Total</t>
  </si>
  <si>
    <t>Variance</t>
  </si>
  <si>
    <t>Personal Allowance</t>
  </si>
  <si>
    <t>Monthly Total</t>
  </si>
  <si>
    <t>Essential &amp; Quality of Life Monthly Total</t>
  </si>
  <si>
    <t>Essential &amp; Quality of Life Annual Total</t>
  </si>
  <si>
    <t>Actual</t>
  </si>
  <si>
    <t>Stress</t>
  </si>
  <si>
    <t>Month</t>
  </si>
  <si>
    <t>*</t>
  </si>
  <si>
    <t>*N.B. Totals assume Council Tax is paid for 10 months - monthly total includes ten twelfths of the monthly amount</t>
  </si>
  <si>
    <t>1st clause</t>
  </si>
  <si>
    <t>Student loan</t>
  </si>
  <si>
    <t>Childcare vouchers</t>
  </si>
  <si>
    <t>Water</t>
  </si>
  <si>
    <t>Gas</t>
  </si>
  <si>
    <t>Electricity</t>
  </si>
  <si>
    <t>Other Heating</t>
  </si>
  <si>
    <t>Tax Income Highest</t>
  </si>
  <si>
    <t>Household</t>
  </si>
  <si>
    <t>Services</t>
  </si>
  <si>
    <t>Variable</t>
  </si>
  <si>
    <t>1 if fixed</t>
  </si>
  <si>
    <t>1 if 5 year</t>
  </si>
  <si>
    <t>2 if fixed 5yr</t>
  </si>
  <si>
    <t>Household goods &amp; repairs</t>
  </si>
  <si>
    <t>Sub</t>
  </si>
  <si>
    <t>Existing residential mortgage commitment</t>
  </si>
  <si>
    <t>New loan in top line, existing sub-accounts in lines below - see comment box above</t>
  </si>
  <si>
    <t>Term Years</t>
  </si>
  <si>
    <t>Term Months</t>
  </si>
  <si>
    <t>Actual rate</t>
  </si>
  <si>
    <t>Fixed</t>
  </si>
  <si>
    <t>Product term</t>
  </si>
  <si>
    <t>Stress rate</t>
  </si>
  <si>
    <t>Product CMS</t>
  </si>
  <si>
    <t>Stress CMS</t>
  </si>
  <si>
    <t>New loan</t>
  </si>
  <si>
    <t>5yr fixed?</t>
  </si>
  <si>
    <t>Term discount</t>
  </si>
  <si>
    <t>BTL SVR</t>
  </si>
  <si>
    <t>Personal / Occupational Pension</t>
  </si>
  <si>
    <t>State Retirement Pension</t>
  </si>
  <si>
    <t>Investment / Trust Income</t>
  </si>
  <si>
    <t>App. 1 Retired</t>
  </si>
  <si>
    <t>App. 2 Retired</t>
  </si>
  <si>
    <t>Yes</t>
  </si>
  <si>
    <t>No</t>
  </si>
  <si>
    <t>1 retired adult, no children</t>
  </si>
  <si>
    <t>2 retired adult, no children</t>
  </si>
  <si>
    <t>H</t>
  </si>
  <si>
    <t>I</t>
  </si>
  <si>
    <t>Number Retired</t>
  </si>
  <si>
    <t>Non-retired</t>
  </si>
  <si>
    <t>National Insurance</t>
  </si>
  <si>
    <t>Bursary</t>
  </si>
  <si>
    <t>Net Disposable Monthly Income</t>
  </si>
  <si>
    <t>Petrol</t>
  </si>
  <si>
    <t>Road Tax</t>
  </si>
  <si>
    <t>Notes to the expenditure</t>
  </si>
  <si>
    <t xml:space="preserve">Smoker(s) </t>
  </si>
  <si>
    <t>Cigarettes</t>
  </si>
  <si>
    <t>Taken from ONS table A35 - detailed average expenditure on transport costs in England</t>
  </si>
  <si>
    <t>Motor vehicle running costs</t>
  </si>
  <si>
    <t>Petrol, etc.</t>
  </si>
  <si>
    <t>MOT, servcing…</t>
  </si>
  <si>
    <t>Other costs</t>
  </si>
  <si>
    <t>Public transport costs</t>
  </si>
  <si>
    <t>Rail / tube fares</t>
  </si>
  <si>
    <t>Bus fares</t>
  </si>
  <si>
    <t>Combined fares</t>
  </si>
  <si>
    <t>Other travel costs</t>
  </si>
  <si>
    <t>Personal transport</t>
  </si>
  <si>
    <t xml:space="preserve">Parking </t>
  </si>
  <si>
    <t>Public transport</t>
  </si>
  <si>
    <t>Spares &amp; accessories</t>
  </si>
  <si>
    <t>Motor Insurance</t>
  </si>
  <si>
    <t>MOT, repairs, servicing, etc.</t>
  </si>
  <si>
    <t>Loan</t>
  </si>
  <si>
    <t>Rate</t>
  </si>
  <si>
    <t>Calc value</t>
  </si>
  <si>
    <t>CMS</t>
  </si>
  <si>
    <t>New</t>
  </si>
  <si>
    <t>Monthly CMS if on a Capital &amp; Interest repayment basis</t>
  </si>
  <si>
    <t>Monthly CMS on an Interest-Only basis</t>
  </si>
  <si>
    <t xml:space="preserve">CMS Capital Rept. basis </t>
  </si>
  <si>
    <t>Management &amp; Letting Fees</t>
  </si>
  <si>
    <t>Service Charge</t>
  </si>
  <si>
    <t>Insurance</t>
  </si>
  <si>
    <t>Repairs</t>
  </si>
  <si>
    <t>Voids</t>
  </si>
  <si>
    <t>Utilities</t>
  </si>
  <si>
    <t>Gas &amp; Electric Certificates</t>
  </si>
  <si>
    <t>License Fee</t>
  </si>
  <si>
    <t>Ground Rent</t>
  </si>
  <si>
    <t>Other Costs</t>
  </si>
  <si>
    <t xml:space="preserve">Total Costs </t>
  </si>
  <si>
    <t>BTL Landlord prior to 1st Jan. 2017</t>
  </si>
  <si>
    <t>Stressed Cap. Rept.</t>
  </si>
  <si>
    <t>Rate of tax applied to rent net of expenditure</t>
  </si>
  <si>
    <t>Less costs incurred by landlord</t>
  </si>
  <si>
    <t xml:space="preserve">ICR incl. income at stress rate </t>
  </si>
  <si>
    <t>Tax liability</t>
  </si>
  <si>
    <t>Tax on net rental income (after expenses)</t>
  </si>
  <si>
    <t>Net rental income (after expenses)</t>
  </si>
  <si>
    <t>BUY-TO-LET LOAN DETAILS</t>
  </si>
  <si>
    <t>PERSONAL INCOME ANNUAL BUDGET SUMMARY</t>
  </si>
  <si>
    <t>PERSONAL INCOME MONTHLY SUMMARY</t>
  </si>
  <si>
    <t xml:space="preserve">Expected GROSS monthly rental income </t>
  </si>
  <si>
    <t>Interest-only</t>
  </si>
  <si>
    <t>Cap. Repayment</t>
  </si>
  <si>
    <t>Monthly Interest-only CMS at stress rate</t>
  </si>
  <si>
    <t>Monthly Capital repayment CMS at stress rate</t>
  </si>
  <si>
    <t>ICR (Interest Coverage Ratio) at stress rate</t>
  </si>
  <si>
    <t>Monthly landlord responsibilities for the property to be mortgaged</t>
  </si>
  <si>
    <t xml:space="preserve">ICR at the stress rate on the property to be mortgaged </t>
  </si>
  <si>
    <t>Deductions before tax</t>
  </si>
  <si>
    <t>Pension contributions</t>
  </si>
  <si>
    <t>Deductions after tax</t>
  </si>
  <si>
    <t>Is this a Portfolio Landlord mortgage?</t>
  </si>
  <si>
    <t>Number</t>
  </si>
  <si>
    <t>Code letter</t>
  </si>
  <si>
    <t>N.B.  No tax will be deducted from the following figures and evidence of income will be required.</t>
  </si>
  <si>
    <t>APPLICANT NAME</t>
  </si>
  <si>
    <t>Stress Test (PASS/FAIL)</t>
  </si>
  <si>
    <t>PASS</t>
  </si>
  <si>
    <t>FAIL</t>
  </si>
  <si>
    <t>LANDLORD COSTS - TAX</t>
  </si>
  <si>
    <t>Retirement Indicators</t>
  </si>
  <si>
    <t>To start a new line press Alt + Return</t>
  </si>
  <si>
    <t>Other deductions after tax</t>
  </si>
  <si>
    <t>Total of Other Income Sources*</t>
  </si>
  <si>
    <t xml:space="preserve">*All other income will be carried over separately to the Affordability tab and where indicated, 50% of income will be applied.  </t>
  </si>
  <si>
    <t>&lt;&lt;ENTER TAX CODE NUMBERS IN CELLS D14 and G14 IF KNOWN &amp; TAX CODE LETTER IN CELLS E14 AND H14 IF KNOWN - OTHERWISE LEAVE BLANK&gt;&gt;</t>
  </si>
  <si>
    <t>Own lease, maintenance, ground rent &amp; service charges</t>
  </si>
  <si>
    <t>(Maintenance)</t>
  </si>
  <si>
    <t>(Bursary)</t>
  </si>
  <si>
    <t>(Benefits)</t>
  </si>
  <si>
    <t>(Child benefit)</t>
  </si>
  <si>
    <t>(WFTC)</t>
  </si>
  <si>
    <t>(Other income)</t>
  </si>
  <si>
    <t xml:space="preserve">Interest-only Repayment Strategy </t>
  </si>
  <si>
    <t>90% Net disposable monthly personal income</t>
  </si>
  <si>
    <t>NET Rental profit achieved after tax</t>
  </si>
  <si>
    <t>Less tax relief on product Interest-Only payment*</t>
  </si>
  <si>
    <t>(*If less than net rental)</t>
  </si>
  <si>
    <t>PLEASE NOTE THAT ALL CELLS IN YELLOW CAN BE POPULATED WITH INFORMATION.</t>
  </si>
  <si>
    <t>Help - Income Tab</t>
  </si>
  <si>
    <t>Rental coverage including 90% of net disposable income</t>
  </si>
  <si>
    <t>The net rental coverage must be equal to or greater than 130% of the interest-only mortgage payment at the stress rate to be acceptable to the Society.  However, if the net rental coverage is insufficient, net rental plus 90% of net disposable monthly income can be taken into account.</t>
  </si>
  <si>
    <t>Retirement status of all applicants</t>
  </si>
  <si>
    <t>Select the correct retirement status for each applicant from the dropdown options on the AFFORDABILITY TAB before completing the Income tab.  Failure to do this will affect the income calculation.</t>
  </si>
  <si>
    <t>Tax code</t>
  </si>
  <si>
    <t>Enter the Tax code numbers in cells D14 and G14, if known, and the tax code letter in cells E14 and H14, if known, otherwise leave blank.</t>
  </si>
  <si>
    <t xml:space="preserve">Input the annual, monthly or weekly gross income for the applicant for each applicant.  From the dropdown list remember to choose either Annual, Monthly or Weekly. </t>
  </si>
  <si>
    <t>Other regular but not guaranteed income</t>
  </si>
  <si>
    <t xml:space="preserve">Input regular non-guaranteed overtime, commission, bonuses, etc.   From the dropdown list remember to choose either Annual, Monthly or Weekly.  </t>
  </si>
  <si>
    <t xml:space="preserve">Input pension contributions, Childcare vouchers or other non-taxable deductions.  From the dropdown list remember to choose either Annual, Monthly or Weekly.   </t>
  </si>
  <si>
    <t xml:space="preserve">Input student loans, or other deductions that are not eligible for tax relief.  From the dropdown list remember to choose either Annual, Monthly or Weekly. </t>
  </si>
  <si>
    <t>This field calculates the amount of net monthly income and is carried over to the Affordability tab.</t>
  </si>
  <si>
    <t>Input full amounts for monthly maintenance, bursaries, rental income, etc. or other non-taxable income.  These figures are carried forward and itemised on the Affordability tab at either 100% or 50%.  Evidence will be required.</t>
  </si>
  <si>
    <t>Total of Other Income Sources</t>
  </si>
  <si>
    <t>This field will calculate the monthly total of all other income based on either 50% or 100% of the individual amounts entered.</t>
  </si>
  <si>
    <t>Help - Affordability Tab - All commitments should be entered as monthly</t>
  </si>
  <si>
    <t>Income - Net Pay</t>
  </si>
  <si>
    <t>Each applicant's net monthly income is pulled through from the Income tab.</t>
  </si>
  <si>
    <t>Other income</t>
  </si>
  <si>
    <t>Household size</t>
  </si>
  <si>
    <t>Enter the number of adults and the number of children in the household.</t>
  </si>
  <si>
    <t>Household size - retirement status</t>
  </si>
  <si>
    <t>Committed expenditure</t>
  </si>
  <si>
    <t>Input the monthly amount of any secured or unsecured loans held by the borrower(s).</t>
  </si>
  <si>
    <t xml:space="preserve">Credit Card / Store Card Monthly Payments </t>
  </si>
  <si>
    <t>Input the credit card or store card balance into the cell to the right of the committed expenditure.  The calculator will carry over a monthly commitment of 3% of the balance input.</t>
  </si>
  <si>
    <t>Maintenance / CSA Payments</t>
  </si>
  <si>
    <t>Input the amount of any maintenance or CSA payments the borrower(s) has to make.</t>
  </si>
  <si>
    <t>Input the applicant's lease, maintenance costs, etc. in respect of their own residence.</t>
  </si>
  <si>
    <t>Input the monthly cost of any repayment strategy that the borrower(s) contributes towards e.g. endowment, pension plan, etc…</t>
  </si>
  <si>
    <t>Utilities (Gas, Water, Electricity)</t>
  </si>
  <si>
    <t xml:space="preserve">Input the total amount of the Gas, Water and Electricity payments declared by the borrower. </t>
  </si>
  <si>
    <t>Council tax</t>
  </si>
  <si>
    <t>When inputting the council tax payment enter the monthly payment declared by the borrower(s).  The calculator assumes Council Tax is paid over 10 months and uses ten twelfths of the monthly amount.</t>
  </si>
  <si>
    <t>Other basic essential expenditure</t>
  </si>
  <si>
    <t xml:space="preserve">Input the amount of all basic expenditure declared by the borrower. </t>
  </si>
  <si>
    <t>Recreation costs, personal goods, etc.</t>
  </si>
  <si>
    <t>Input the total monthly amount of all basic quality of living costs declared by the borrower(s).</t>
  </si>
  <si>
    <t>Smoker(s)?</t>
  </si>
  <si>
    <t>Use the dropdown list to indicate whether the borrower(s) is a smoker or not.</t>
  </si>
  <si>
    <t>Use this section to enter any supporting information to the expenditure you consider to be relevant such as company car, borrower walks to work, etc.</t>
  </si>
  <si>
    <t>Full details of loan</t>
  </si>
  <si>
    <t>Enter the loan details in the yellow cells.</t>
  </si>
  <si>
    <t>The calculator will automatically show the CMS at the PRODUCT pay rate and the STRESS rate on an Interest-only basis.</t>
  </si>
  <si>
    <t>The calculator will also automatically show the CMS at the PRODUCT pay rate and the STRESS rate on a Capital Repayment basis.</t>
  </si>
  <si>
    <t>Stress rates</t>
  </si>
  <si>
    <t>The calculator applies a stress rate of the higher of 2% above the product rate or 5.50%.  If the product is fixed for 5 years or more no stress rate is applied and the product rate is used instead.</t>
  </si>
  <si>
    <t>This shows the borrower's total annual income after tax, less their total annual spending.</t>
  </si>
  <si>
    <t>This shows the borrower's net disposable income after expenditure.</t>
  </si>
  <si>
    <t>Ability to support stressed CMS on just NET rental income after profit</t>
  </si>
  <si>
    <t>THE FOLLOWING INCOME TYPES WILL USE 100% OF THE INCOME ENTERED</t>
  </si>
  <si>
    <t>Self-employed &amp; Other Guaranteed Income types</t>
  </si>
  <si>
    <t xml:space="preserve">Input self-employed income or guaranteed overtime, commission, bonuses, etc.   From the dropdown list remember to choose either Annual, Monthly or Weekly.  </t>
  </si>
  <si>
    <t>THE FOLLOWING INCOME TYPES WILL USE 50% OF THE INCOME ENTERED</t>
  </si>
  <si>
    <t>THE FOLLOWING WILL BE DEDUCTED FROM THE INCOME</t>
  </si>
  <si>
    <t>THE FOLLOWING MUST BE ENTERED AS MONTHLY AMOUNTS.  NO TAX WILL BE DEDUCTED AND EITHER 50% OR 100% WILL BE USED BASED ON THE INCOME TYPE</t>
  </si>
  <si>
    <t>Input the monthly amount of any residential mortgage commitments held by the borrower(s).</t>
  </si>
  <si>
    <t>Interest-only Repayment Strategy</t>
  </si>
  <si>
    <t>Housekeeping (food &amp; washing)</t>
  </si>
  <si>
    <t>Input the borrower's average monthly expenditure on shopping.</t>
  </si>
  <si>
    <t>Buildings insurance</t>
  </si>
  <si>
    <t>Input the monthly cost of buildings (and contents) insurance on their residential property.</t>
  </si>
  <si>
    <t>Essential travel motoring costs (Inc. work or school)</t>
  </si>
  <si>
    <t>Input essential motoring travel costs into the "Monthly Travel Costs Breakdown" section to the right of the Basic Essential Expenditure section.</t>
  </si>
  <si>
    <t>Communication (Mobile phone)</t>
  </si>
  <si>
    <t>Input the monthly costs in respect of mobile phones.</t>
  </si>
  <si>
    <t>Input any premiums in respect of life and health assurance.</t>
  </si>
  <si>
    <t>Essential travel public transport costs (Inc. work or school)</t>
  </si>
  <si>
    <t>Input essential public transport travel costs into the "Monthly Travel Costs Breakdown" section to the right of the Basic Essential Expenditure section.</t>
  </si>
  <si>
    <t>Holidays, childcare, clothing, etc.</t>
  </si>
  <si>
    <t>Buy-to-Let Loan details</t>
  </si>
  <si>
    <t>If the assessment is for a further advance, existing mortgage commitments can be shown by completing the Sub account rows.</t>
  </si>
  <si>
    <t xml:space="preserve">Choose "Yes" or "No" from the dropdown list.  </t>
  </si>
  <si>
    <t>If "Yes", proceed to the Portfolio tab and complete the information required.</t>
  </si>
  <si>
    <r>
      <t>Other income such as Working Family tax credit, Child benefit, etc. are pulled through from the Income tab.</t>
    </r>
    <r>
      <rPr>
        <b/>
        <sz val="11"/>
        <rFont val="Calibri"/>
        <family val="2"/>
      </rPr>
      <t xml:space="preserve">  IMPORTANT - No tax has been deducted from these figures.</t>
    </r>
  </si>
  <si>
    <r>
      <t xml:space="preserve">From the dropdown options indicate whether each applicant is retired or non-retired.  </t>
    </r>
    <r>
      <rPr>
        <b/>
        <sz val="11"/>
        <rFont val="Calibri"/>
        <family val="2"/>
      </rPr>
      <t>IMPORTANT - Failure to indicate this will affect the net pay and will give incorrect figures.</t>
    </r>
  </si>
  <si>
    <r>
      <t xml:space="preserve">The calculator shows the monthly and annual totals for the Essential and Basic Quality of Living costs declared but </t>
    </r>
    <r>
      <rPr>
        <b/>
        <u val="single"/>
        <sz val="11"/>
        <rFont val="Calibri"/>
        <family val="2"/>
      </rPr>
      <t>not</t>
    </r>
    <r>
      <rPr>
        <sz val="11"/>
        <rFont val="Calibri"/>
        <family val="2"/>
      </rPr>
      <t xml:space="preserve"> the committed expenditure.</t>
    </r>
  </si>
  <si>
    <r>
      <rPr>
        <b/>
        <u val="single"/>
        <sz val="10"/>
        <rFont val="Tahoma"/>
        <family val="2"/>
      </rPr>
      <t>Tax Code ending in 'K'</t>
    </r>
    <r>
      <rPr>
        <b/>
        <sz val="10"/>
        <rFont val="Tahoma"/>
        <family val="2"/>
      </rPr>
      <t xml:space="preserve"> </t>
    </r>
    <r>
      <rPr>
        <sz val="10"/>
        <rFont val="Tahoma"/>
        <family val="2"/>
      </rPr>
      <t xml:space="preserve">
K codes are negative codes so adjustments are added to pay rather than deducted from it. The K code can avoid a tax underpayment accumulating during the year. A regulatory limit prevents tax deductions exceeding 50% of gross pay. Weekly or monthly PAYE tax liabilities above the regulatory limit are carried forward.</t>
    </r>
  </si>
  <si>
    <t>Taken from ONS table A35 - detailed average expenditure on utilities in England - UK, financial year ending 2016 to financial year ending 2018</t>
  </si>
  <si>
    <t xml:space="preserve">  </t>
  </si>
  <si>
    <t>TAX YEAR 2019-20</t>
  </si>
  <si>
    <t>Basic rate / Higher Rate Tax Payers ICR coverage</t>
  </si>
  <si>
    <t>Basic @ 20%</t>
  </si>
  <si>
    <t xml:space="preserve">Higher @ 40% </t>
  </si>
  <si>
    <t>Higher @ 45%</t>
  </si>
  <si>
    <t>ICR applied</t>
  </si>
  <si>
    <t>GROSS Rental Income</t>
  </si>
  <si>
    <t>N.B. Not currently used - 22.07.19</t>
  </si>
  <si>
    <t>ABILITY TO MEET MONTHLY MORTGAGE REPAYMENTS ON THE PROPERTY TO BE MORTGAGED</t>
  </si>
  <si>
    <t>Highest rate of tax applicable</t>
  </si>
  <si>
    <t>Maximum loan available based on rental achieveable</t>
  </si>
  <si>
    <t>Ability to support stressed CMS on GROSS rental income</t>
  </si>
  <si>
    <t>Ability to support stressed CMS on combined GROSS rental income plus 90% of applicant(s) disposable free income</t>
  </si>
  <si>
    <t xml:space="preserve">Enter the expected Gross Monthly rental income in the yellow cell. </t>
  </si>
  <si>
    <t>Tax is applied to rental income at the highest tax rate payable by the applicant(s) and the Interest rate coverage (ICR) will be appled as follows;</t>
  </si>
  <si>
    <t xml:space="preserve">Basic rate - £12,501 to £50,000  </t>
  </si>
  <si>
    <t xml:space="preserve">Higher rate - £50,001 to £150,000 </t>
  </si>
  <si>
    <t xml:space="preserve">Additional rate - over £150,000 </t>
  </si>
  <si>
    <t>The GROSS rental coverage must be equal to or greater than Interest Coverage Ratio (ICR) of the interest-only mortgage payment at the stress rate at the ICR applicable to the applicant(s) highest tax band.  If the  rental coverage is insufficient, rental plus 90% of net disposable monthly income can be taken into account - see Rental coverage incl. income at stress rate cell.</t>
  </si>
  <si>
    <t>130% Interest Coverage Ratio (ICR)</t>
  </si>
  <si>
    <t>165% Interest Coverage Ratio (ICR)</t>
  </si>
  <si>
    <t xml:space="preserve">This states the GROSS rental coverage of the stressed Interest-only CMS. </t>
  </si>
  <si>
    <t>Equal to or above ICR at appropriate tax band = GREEN / PASS</t>
  </si>
  <si>
    <t>Less than ICR at appropritae tax band = RED / FAIL</t>
  </si>
  <si>
    <t>If the ICR is below the required percentage at the applicant(s) highest tax band , 90% of net disposable net income can be included - see following.</t>
  </si>
  <si>
    <t>Ability to support stressed CMS on combined GROSS rental income plus 90% disposable free income</t>
  </si>
  <si>
    <t xml:space="preserve">This states the combined GROSS rental coverage and 90% of disposable net income of the stressed Interest-only CMS. </t>
  </si>
  <si>
    <t>If the combined ICR is below the required percentage the case cannot proceed.</t>
  </si>
  <si>
    <t>This states the minimum loan available based on the rent achieveable at the relevent ICR coverage, i.e. 130% or 165%.</t>
  </si>
  <si>
    <t>IMPORTANT NOTE - IT IS ASSUMED FAMILY BUY-TO-LET PROPERTIES ARE NOT NECESSARILY BEING LET FOR PROFIT AND THEREFORE THE ABILITY TO SUPPORT THE STRESSED CMS CAN BE BASED SOLELY ON THE COMBINED GROSS RENTAL INCOME &amp; 90% OF DISPOSABLE INCOME</t>
  </si>
  <si>
    <t>GROSS rental income</t>
  </si>
  <si>
    <t>Plus 90% Net disposable monthly personal income</t>
  </si>
  <si>
    <t>Basic rate / Higher rate tax payer input</t>
  </si>
  <si>
    <t>Basic rate</t>
  </si>
  <si>
    <t>Higher rate</t>
  </si>
  <si>
    <t>Additional rate</t>
  </si>
  <si>
    <t>Which tax band does the applicant fall into?</t>
  </si>
  <si>
    <t>Result</t>
  </si>
  <si>
    <t>Rate of tax applied to profits</t>
  </si>
  <si>
    <t>The dropdown options available are Basic, Higher or Additional rate.  This will apply tax to the rent net of expenditure and the appropriate ICR (see below).  The answer to the dropdown question will be overridden if income is entered on the income tab.</t>
  </si>
  <si>
    <t>2018-19 income tax rates and thresholds</t>
  </si>
  <si>
    <t>Band</t>
  </si>
  <si>
    <t>Taxable income</t>
  </si>
  <si>
    <t>Tax rate</t>
  </si>
  <si>
    <t>Up to £12,500</t>
  </si>
  <si>
    <t>£12,501 to £50,000</t>
  </si>
  <si>
    <t>£50,001 to £150,000</t>
  </si>
  <si>
    <t>over £150,000</t>
  </si>
  <si>
    <t>SALARY AND DIVIDEND TAX CALCULATOR</t>
  </si>
  <si>
    <t>APPLICANT ONE</t>
  </si>
  <si>
    <t>APPLICANT TWO</t>
  </si>
  <si>
    <t>Salary</t>
  </si>
  <si>
    <t>Dividends</t>
  </si>
  <si>
    <t>Tax rates</t>
  </si>
  <si>
    <t>Thresholds</t>
  </si>
  <si>
    <t>Dividend</t>
  </si>
  <si>
    <t>Dividend tax free allowance</t>
  </si>
  <si>
    <t>n/a</t>
  </si>
  <si>
    <t>Basic rate limit</t>
  </si>
  <si>
    <t>Higher rate limit</t>
  </si>
  <si>
    <t>Allowance reduction threshold</t>
  </si>
  <si>
    <t>Allowance reduction limit</t>
  </si>
  <si>
    <t>Salary tax calculator</t>
  </si>
  <si>
    <t>Allowance</t>
  </si>
  <si>
    <t>Basic</t>
  </si>
  <si>
    <t>Higher</t>
  </si>
  <si>
    <t>Additional</t>
  </si>
  <si>
    <t>Reduction in personal allowance</t>
  </si>
  <si>
    <t>Dividend tax calculator</t>
  </si>
  <si>
    <t>Allowance if tax code used</t>
  </si>
  <si>
    <t>Allowance for calculation</t>
  </si>
  <si>
    <t>N/a</t>
  </si>
  <si>
    <t>Total Annual Income incl. dividends</t>
  </si>
  <si>
    <t>Annual Salary / Self-employed Income</t>
  </si>
  <si>
    <t>Dividend Income</t>
  </si>
  <si>
    <t>Salary Tax</t>
  </si>
  <si>
    <t>Dividend Tax</t>
  </si>
  <si>
    <t>Annual Net Income</t>
  </si>
  <si>
    <t>IMPORTANT - Please answer the question for each applicant</t>
  </si>
  <si>
    <r>
      <t xml:space="preserve">Where 50% is indicated enter the </t>
    </r>
    <r>
      <rPr>
        <u val="single"/>
        <sz val="10"/>
        <rFont val="Tahoma"/>
        <family val="2"/>
      </rPr>
      <t xml:space="preserve">FULL </t>
    </r>
    <r>
      <rPr>
        <sz val="10"/>
        <rFont val="Tahoma"/>
        <family val="2"/>
      </rPr>
      <t xml:space="preserve">amount &amp; this will automatically be amended to 50% in </t>
    </r>
    <r>
      <rPr>
        <u val="single"/>
        <sz val="10"/>
        <rFont val="Tahoma"/>
        <family val="2"/>
      </rPr>
      <t>all</t>
    </r>
    <r>
      <rPr>
        <sz val="10"/>
        <rFont val="Tahoma"/>
        <family val="2"/>
      </rPr>
      <t xml:space="preserve"> calculations.</t>
    </r>
  </si>
  <si>
    <t>IMPORTANT -Amend the income frequency as required.</t>
  </si>
  <si>
    <r>
      <t>Other Income -</t>
    </r>
    <r>
      <rPr>
        <b/>
        <sz val="10"/>
        <color indexed="10"/>
        <rFont val="Tahoma"/>
        <family val="2"/>
      </rPr>
      <t xml:space="preserve"> THESE MUST BE MONTHLY</t>
    </r>
  </si>
  <si>
    <r>
      <rPr>
        <b/>
        <u val="single"/>
        <sz val="10"/>
        <rFont val="Tahoma"/>
        <family val="2"/>
      </rPr>
      <t>Personal Allowance - income over £100,000</t>
    </r>
    <r>
      <rPr>
        <sz val="10"/>
        <rFont val="Tahoma"/>
        <family val="2"/>
      </rPr>
      <t xml:space="preserve">
Your Personal Allowance goes down by £1 for every £2 that your adjusted net income is above £100,000. This means your allowance is zero if your income is £125,000 or above.</t>
    </r>
  </si>
  <si>
    <t>ONS Information Header only</t>
  </si>
  <si>
    <t>1 adult, no children</t>
  </si>
  <si>
    <t>2 adults, no children</t>
  </si>
  <si>
    <t>1 adult, 2 or more children</t>
  </si>
  <si>
    <t>2 adults, 3 or more children</t>
  </si>
  <si>
    <t>2 retired adults, no children</t>
  </si>
  <si>
    <t>2020 / 2021 Salary &amp; Dividend Test Summary</t>
  </si>
  <si>
    <t>App 1</t>
  </si>
  <si>
    <t>App 2</t>
  </si>
  <si>
    <t>Gross salary</t>
  </si>
  <si>
    <t>Tax / N.I.</t>
  </si>
  <si>
    <t>Net salary</t>
  </si>
  <si>
    <t>Less tax</t>
  </si>
  <si>
    <t>Net dividends</t>
  </si>
  <si>
    <t>Total Income</t>
  </si>
  <si>
    <t>BTL Rental Income (3 or more properties)</t>
  </si>
  <si>
    <t>BTL Rental Income (2 or less properties)</t>
  </si>
  <si>
    <t>Tax year 2020/2021</t>
  </si>
  <si>
    <t>Is either Applicant above state retirement age?</t>
  </si>
  <si>
    <t>Tax Year 2020/2021</t>
  </si>
  <si>
    <t>APPLICANT'S PERSONAL INCOME BUDGET CALCULATOR</t>
  </si>
  <si>
    <t>IMPORTANT - Please ensure the number of applicants agrees with the Income tab and that retirement statuses have been changed.</t>
  </si>
  <si>
    <t>Adult occupant check against Income tab</t>
  </si>
  <si>
    <t>1st Applicant</t>
  </si>
  <si>
    <t>2nd Applicant</t>
  </si>
  <si>
    <t>Income tab total</t>
  </si>
  <si>
    <t>Adults Household size</t>
  </si>
  <si>
    <t>*One or both applicants are above the state retirement age - see Income tab</t>
  </si>
  <si>
    <t>*Below the state retirement age - see Income tab</t>
  </si>
  <si>
    <t>BROKER NAME</t>
  </si>
  <si>
    <t>Guaranteed rent allowance / town allowance</t>
  </si>
  <si>
    <t>Second job (same industry)</t>
  </si>
  <si>
    <t>Secondary Income</t>
  </si>
  <si>
    <t>Primary Income</t>
  </si>
  <si>
    <t>Regular bonus / commission</t>
  </si>
  <si>
    <t>Second job (different industry)</t>
  </si>
  <si>
    <t>Pension / Investment Income</t>
  </si>
  <si>
    <t>Other Income (not taxed)</t>
  </si>
  <si>
    <t>Actual travel costs</t>
  </si>
  <si>
    <t>Motoring costs</t>
  </si>
  <si>
    <t>Other Heating, e.g. coal, calor gas, etc.</t>
  </si>
  <si>
    <t>Communication, e.g. Broadband, Mobile, etc.</t>
  </si>
  <si>
    <t>Other costs, e.g. pets, dentistry, opticians, etc.</t>
  </si>
  <si>
    <t>Leisure costs, e.g. going out, Netflix, gym, etc.</t>
  </si>
  <si>
    <t>Personal goods, e.g. toiletries not incl. in weekly shop</t>
  </si>
  <si>
    <t>Holidays (monthly average for year)</t>
  </si>
  <si>
    <t>Childcare (nursery/school/university fees)</t>
  </si>
  <si>
    <t>Clothing (monthly average for year)</t>
  </si>
  <si>
    <t>Goods &amp; repairs, e.g. furniture, boiler cover, etc.</t>
  </si>
  <si>
    <t>Other costs not already mentioned</t>
  </si>
  <si>
    <t>Travel Costs</t>
  </si>
  <si>
    <t>All boxes in yellow can be typed into.</t>
  </si>
  <si>
    <t>ONS Figures Selected</t>
  </si>
  <si>
    <t>The pre-populated figures are from the Office of National Statistics (ONS) based on the household characteristics entered.  These can be overtyped with actual figures and saved to your own location.</t>
  </si>
  <si>
    <t>Taken from ONS table A23 - UK, financial year ending 2018 - amended April 2020</t>
  </si>
  <si>
    <t>ONS Figures Key</t>
  </si>
  <si>
    <t>ONS figures left unchanged</t>
  </si>
  <si>
    <t>Actual figures overtyped</t>
  </si>
  <si>
    <t>Broker BTL / Family BTL calc. v.36 (FINAL) - 01 May 2020</t>
  </si>
  <si>
    <t>Broker BTL &amp; Family BTL Calculator (incl. Portfolio) - v. 36 (FINAL) 01 May 2020</t>
  </si>
  <si>
    <t>Can be overtyped &gt;&gt;&gt;&gt;</t>
  </si>
  <si>
    <t>Please note that the cells in purple are Office of National Statistics (ONS) figures.  These can either be overtyped with actual costs and will change colour or left as ONS figures.</t>
  </si>
  <si>
    <t>Housekeeping (typical monthly shopping)</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</si>
</sst>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0_-;\-&quot;£&quot;* #,##0.0_-;_-&quot;£&quot;* &quot;-&quot;??_-;_-@_-"/>
    <numFmt numFmtId="166" formatCode="_-&quot;£&quot;* #,##0_-;\-&quot;£&quot;* #,##0_-;_-&quot;£&quot;* &quot;-&quot;??_-;_-@_-"/>
    <numFmt numFmtId="167" formatCode="0.000%"/>
    <numFmt numFmtId="168" formatCode="0.0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00"/>
    <numFmt numFmtId="175" formatCode="0.0000"/>
    <numFmt numFmtId="176" formatCode="[$-809]dd\ mmmm\ yyyy"/>
    <numFmt numFmtId="177" formatCode="0.00000000"/>
    <numFmt numFmtId="178" formatCode="0.0000000"/>
    <numFmt numFmtId="179" formatCode="0.000000"/>
    <numFmt numFmtId="180" formatCode="0.00000"/>
    <numFmt numFmtId="181" formatCode="General_)"/>
    <numFmt numFmtId="182" formatCode="0.0&quot;0&quot;"/>
    <numFmt numFmtId="183" formatCode="&quot;[&quot;0.0&quot;0&quot;&quot;]&quot;"/>
    <numFmt numFmtId="184" formatCode="_-&quot;£&quot;* #,##0.000000000000_-;\-&quot;£&quot;* #,##0.000000000000_-;_-&quot;£&quot;* &quot;-&quot;????????????_-;_-@_-"/>
    <numFmt numFmtId="185" formatCode="#,##0.00_ ;\-#,##0.00\ "/>
    <numFmt numFmtId="186" formatCode="#,##0_ ;\-#,##0\ "/>
    <numFmt numFmtId="187" formatCode="_-* #,##0_-;\-* #,##0_-;_-* &quot;-&quot;??_-;_-@_-"/>
    <numFmt numFmtId="188" formatCode="_-&quot;£&quot;* #,##0.000_-;\-&quot;£&quot;* #,##0.000_-;_-&quot;£&quot;* &quot;-&quot;??_-;_-@_-"/>
    <numFmt numFmtId="189" formatCode="_-[$£-809]* #,##0.00_-;\-[$£-809]* #,##0.00_-;_-[$£-809]* &quot;-&quot;??_-;_-@_-"/>
    <numFmt numFmtId="190" formatCode="0.00000%"/>
    <numFmt numFmtId="191" formatCode="0.0000000000"/>
    <numFmt numFmtId="192" formatCode="0.000000000"/>
    <numFmt numFmtId="193" formatCode="&quot;£&quot;#,##0.00"/>
    <numFmt numFmtId="194" formatCode="#,##0.0_ ;\-#,##0.0\ "/>
    <numFmt numFmtId="195" formatCode="_-* #,##0.000_-;\-* #,##0.000_-;_-* &quot;-&quot;??_-;_-@_-"/>
    <numFmt numFmtId="196" formatCode="_-* #,##0.0000_-;\-* #,##0.0000_-;_-* &quot;-&quot;??_-;_-@_-"/>
    <numFmt numFmtId="197" formatCode="mmm\-yyyy"/>
  </numFmts>
  <fonts count="72">
    <font>
      <sz val="10"/>
      <name val="Tahoma"/>
      <family val="0"/>
    </font>
    <font>
      <b/>
      <sz val="10"/>
      <name val="Tahoma"/>
      <family val="2"/>
    </font>
    <font>
      <sz val="8"/>
      <name val="Tahoma"/>
      <family val="2"/>
    </font>
    <font>
      <b/>
      <u val="single"/>
      <sz val="10"/>
      <name val="Tahoma"/>
      <family val="2"/>
    </font>
    <font>
      <sz val="10"/>
      <name val="Arial (W1)"/>
      <family val="0"/>
    </font>
    <font>
      <sz val="9"/>
      <name val="Tahoma"/>
      <family val="2"/>
    </font>
    <font>
      <b/>
      <sz val="10"/>
      <name val="Arial"/>
      <family val="2"/>
    </font>
    <font>
      <sz val="10"/>
      <name val="Arial"/>
      <family val="2"/>
    </font>
    <font>
      <b/>
      <i/>
      <sz val="10"/>
      <name val="Tahoma"/>
      <family val="2"/>
    </font>
    <font>
      <sz val="10"/>
      <name val="Courier"/>
      <family val="3"/>
    </font>
    <font>
      <sz val="10"/>
      <name val="MS Sans Serif"/>
      <family val="2"/>
    </font>
    <font>
      <b/>
      <u val="single"/>
      <sz val="9"/>
      <name val="Tahoma"/>
      <family val="2"/>
    </font>
    <font>
      <b/>
      <sz val="10"/>
      <color indexed="10"/>
      <name val="Tahoma"/>
      <family val="2"/>
    </font>
    <font>
      <sz val="11"/>
      <name val="Calibri"/>
      <family val="2"/>
    </font>
    <font>
      <u val="single"/>
      <sz val="10"/>
      <name val="Tahoma"/>
      <family val="2"/>
    </font>
    <font>
      <b/>
      <sz val="11"/>
      <name val="Calibri"/>
      <family val="2"/>
    </font>
    <font>
      <sz val="11"/>
      <name val="Tahoma"/>
      <family val="2"/>
    </font>
    <font>
      <b/>
      <u val="single"/>
      <sz val="11"/>
      <name val="Calibri"/>
      <family val="2"/>
    </font>
    <font>
      <b/>
      <u val="single"/>
      <sz val="10"/>
      <name val="Arial"/>
      <family val="2"/>
    </font>
    <font>
      <b/>
      <u val="singleAccounting"/>
      <sz val="10"/>
      <name val="Tahoma"/>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ahom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ahom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ahoma"/>
      <family val="2"/>
    </font>
    <font>
      <sz val="10"/>
      <color indexed="50"/>
      <name val="Tahoma"/>
      <family val="2"/>
    </font>
    <font>
      <sz val="10"/>
      <color indexed="10"/>
      <name val="Arial"/>
      <family val="2"/>
    </font>
    <font>
      <b/>
      <sz val="14"/>
      <color indexed="62"/>
      <name val="Calibri"/>
      <family val="2"/>
    </font>
    <font>
      <b/>
      <sz val="14"/>
      <name val="Calibri"/>
      <family val="2"/>
    </font>
    <font>
      <u val="single"/>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ahom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ahoma"/>
      <family val="2"/>
    </font>
    <font>
      <sz val="10"/>
      <color rgb="FF92D050"/>
      <name val="Tahoma"/>
      <family val="2"/>
    </font>
    <font>
      <sz val="10"/>
      <color rgb="FFFF0000"/>
      <name val="Arial"/>
      <family val="2"/>
    </font>
    <font>
      <b/>
      <sz val="10"/>
      <color rgb="FFFF0000"/>
      <name val="Tahoma"/>
      <family val="2"/>
    </font>
    <font>
      <b/>
      <sz val="14"/>
      <color rgb="FF4D7BBF"/>
      <name val="Calibri"/>
      <family val="2"/>
    </font>
    <font>
      <b/>
      <sz val="8"/>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rgb="FFCCEC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7" fillId="0" borderId="0">
      <alignment/>
      <protection/>
    </xf>
    <xf numFmtId="181" fontId="9" fillId="0" borderId="0">
      <alignment/>
      <protection/>
    </xf>
    <xf numFmtId="0" fontId="47" fillId="0" borderId="0">
      <alignment/>
      <protection/>
    </xf>
    <xf numFmtId="0" fontId="0" fillId="0" borderId="0">
      <alignment/>
      <protection/>
    </xf>
    <xf numFmtId="0" fontId="47"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55">
    <xf numFmtId="0" fontId="0" fillId="0" borderId="0" xfId="0" applyAlignment="1">
      <alignment/>
    </xf>
    <xf numFmtId="44" fontId="0" fillId="33" borderId="10" xfId="46" applyFont="1" applyFill="1" applyBorder="1" applyAlignment="1" applyProtection="1">
      <alignment/>
      <protection locked="0"/>
    </xf>
    <xf numFmtId="10" fontId="0" fillId="33" borderId="10" xfId="67" applyNumberFormat="1" applyFont="1" applyFill="1" applyBorder="1" applyAlignment="1" applyProtection="1">
      <alignment horizontal="center"/>
      <protection locked="0"/>
    </xf>
    <xf numFmtId="0" fontId="0" fillId="34" borderId="10" xfId="0" applyFill="1" applyBorder="1" applyAlignment="1" applyProtection="1">
      <alignment horizontal="center"/>
      <protection locked="0"/>
    </xf>
    <xf numFmtId="186" fontId="0" fillId="33" borderId="10" xfId="46" applyNumberFormat="1" applyFont="1" applyFill="1" applyBorder="1" applyAlignment="1" applyProtection="1">
      <alignment horizontal="center"/>
      <protection locked="0"/>
    </xf>
    <xf numFmtId="186" fontId="0" fillId="33" borderId="10" xfId="46" applyNumberFormat="1" applyFont="1" applyFill="1" applyBorder="1" applyAlignment="1" applyProtection="1">
      <alignment horizontal="center"/>
      <protection locked="0"/>
    </xf>
    <xf numFmtId="187" fontId="0" fillId="33" borderId="10" xfId="42" applyNumberFormat="1" applyFont="1" applyFill="1" applyBorder="1" applyAlignment="1" applyProtection="1">
      <alignment horizontal="left"/>
      <protection locked="0"/>
    </xf>
    <xf numFmtId="44" fontId="0" fillId="33" borderId="10" xfId="46" applyFont="1" applyFill="1" applyBorder="1" applyAlignment="1" applyProtection="1">
      <alignment horizontal="center" vertical="center"/>
      <protection locked="0"/>
    </xf>
    <xf numFmtId="44" fontId="0" fillId="33" borderId="10" xfId="46" applyFont="1" applyFill="1" applyBorder="1" applyAlignment="1" applyProtection="1">
      <alignment horizontal="center" vertical="center"/>
      <protection locked="0"/>
    </xf>
    <xf numFmtId="44" fontId="0" fillId="34" borderId="10" xfId="0" applyNumberFormat="1" applyFont="1" applyFill="1" applyBorder="1" applyAlignment="1" applyProtection="1">
      <alignment/>
      <protection locked="0"/>
    </xf>
    <xf numFmtId="14" fontId="0" fillId="33" borderId="11" xfId="46" applyNumberFormat="1" applyFont="1" applyFill="1" applyBorder="1" applyAlignment="1" applyProtection="1">
      <alignment/>
      <protection locked="0"/>
    </xf>
    <xf numFmtId="44" fontId="0" fillId="33" borderId="10" xfId="46" applyNumberFormat="1" applyFont="1" applyFill="1" applyBorder="1" applyAlignment="1" applyProtection="1">
      <alignment horizontal="center"/>
      <protection locked="0"/>
    </xf>
    <xf numFmtId="0" fontId="1" fillId="0" borderId="0" xfId="0" applyFont="1" applyAlignment="1" applyProtection="1">
      <alignment/>
      <protection hidden="1"/>
    </xf>
    <xf numFmtId="0" fontId="15" fillId="0" borderId="0" xfId="0" applyFont="1" applyFill="1" applyAlignment="1" applyProtection="1">
      <alignment/>
      <protection hidden="1"/>
    </xf>
    <xf numFmtId="0" fontId="14" fillId="14" borderId="0" xfId="0" applyFont="1" applyFill="1" applyAlignment="1" applyProtection="1">
      <alignment/>
      <protection hidden="1"/>
    </xf>
    <xf numFmtId="0" fontId="0" fillId="14" borderId="0" xfId="0" applyFill="1" applyAlignment="1" applyProtection="1">
      <alignment/>
      <protection hidden="1"/>
    </xf>
    <xf numFmtId="0" fontId="0" fillId="14" borderId="0" xfId="0" applyFont="1" applyFill="1" applyAlignment="1" applyProtection="1">
      <alignment/>
      <protection hidden="1"/>
    </xf>
    <xf numFmtId="9" fontId="0" fillId="14" borderId="0" xfId="0" applyNumberFormat="1" applyFill="1" applyBorder="1" applyAlignment="1" applyProtection="1">
      <alignment/>
      <protection hidden="1"/>
    </xf>
    <xf numFmtId="9" fontId="0" fillId="14" borderId="0" xfId="0" applyNumberFormat="1" applyFill="1" applyAlignment="1" applyProtection="1">
      <alignment/>
      <protection hidden="1"/>
    </xf>
    <xf numFmtId="0" fontId="0" fillId="0" borderId="0" xfId="0" applyFont="1" applyAlignment="1" applyProtection="1">
      <alignment/>
      <protection hidden="1"/>
    </xf>
    <xf numFmtId="0" fontId="15" fillId="0" borderId="0" xfId="0" applyFont="1" applyAlignment="1" applyProtection="1">
      <alignment/>
      <protection hidden="1"/>
    </xf>
    <xf numFmtId="14" fontId="0" fillId="33" borderId="10" xfId="48" applyNumberFormat="1" applyFont="1" applyFill="1" applyBorder="1" applyAlignment="1" applyProtection="1">
      <alignment horizontal="center"/>
      <protection locked="0"/>
    </xf>
    <xf numFmtId="0" fontId="0" fillId="34" borderId="10" xfId="63" applyFill="1" applyBorder="1" applyAlignment="1" applyProtection="1">
      <alignment horizontal="center"/>
      <protection locked="0"/>
    </xf>
    <xf numFmtId="44" fontId="0" fillId="33" borderId="10" xfId="48" applyFont="1" applyFill="1" applyBorder="1" applyAlignment="1" applyProtection="1">
      <alignment/>
      <protection locked="0"/>
    </xf>
    <xf numFmtId="0" fontId="0" fillId="34" borderId="10" xfId="63" applyFill="1" applyBorder="1" applyProtection="1">
      <alignment/>
      <protection locked="0"/>
    </xf>
    <xf numFmtId="44" fontId="0" fillId="34" borderId="10" xfId="48" applyFont="1" applyFill="1" applyBorder="1" applyAlignment="1" applyProtection="1">
      <alignment/>
      <protection locked="0"/>
    </xf>
    <xf numFmtId="0" fontId="0" fillId="34" borderId="10" xfId="0" applyFont="1" applyFill="1" applyBorder="1" applyAlignment="1" applyProtection="1">
      <alignment horizontal="center"/>
      <protection locked="0"/>
    </xf>
    <xf numFmtId="0" fontId="0" fillId="0" borderId="10" xfId="0" applyFont="1" applyBorder="1" applyAlignment="1" applyProtection="1">
      <alignment horizontal="center"/>
      <protection hidden="1"/>
    </xf>
    <xf numFmtId="0" fontId="66" fillId="0" borderId="0" xfId="0" applyFont="1" applyAlignment="1" applyProtection="1">
      <alignment horizontal="center"/>
      <protection hidden="1"/>
    </xf>
    <xf numFmtId="0" fontId="0" fillId="0" borderId="0" xfId="63" applyProtection="1">
      <alignment/>
      <protection hidden="1"/>
    </xf>
    <xf numFmtId="0" fontId="0" fillId="14" borderId="0" xfId="63" applyFill="1" applyAlignment="1" applyProtection="1">
      <alignment horizontal="center"/>
      <protection hidden="1"/>
    </xf>
    <xf numFmtId="0" fontId="0" fillId="14" borderId="0" xfId="63" applyFill="1" applyProtection="1">
      <alignment/>
      <protection hidden="1"/>
    </xf>
    <xf numFmtId="0" fontId="1" fillId="0" borderId="10" xfId="63" applyFont="1" applyBorder="1" applyAlignment="1" applyProtection="1">
      <alignment horizontal="center"/>
      <protection hidden="1"/>
    </xf>
    <xf numFmtId="0" fontId="1" fillId="0" borderId="0" xfId="63" applyFont="1" applyProtection="1">
      <alignment/>
      <protection hidden="1"/>
    </xf>
    <xf numFmtId="0" fontId="0" fillId="14" borderId="0" xfId="63" applyFill="1" applyAlignment="1" applyProtection="1">
      <alignment horizontal="left"/>
      <protection hidden="1"/>
    </xf>
    <xf numFmtId="0" fontId="2" fillId="0" borderId="0" xfId="63" applyFont="1" applyProtection="1">
      <alignment/>
      <protection hidden="1"/>
    </xf>
    <xf numFmtId="0" fontId="0" fillId="0" borderId="0" xfId="63" applyAlignment="1" applyProtection="1">
      <alignment horizontal="center"/>
      <protection hidden="1"/>
    </xf>
    <xf numFmtId="0" fontId="1" fillId="0" borderId="0" xfId="63" applyFont="1" applyAlignment="1" applyProtection="1">
      <alignment wrapText="1"/>
      <protection hidden="1"/>
    </xf>
    <xf numFmtId="0" fontId="3" fillId="14" borderId="0" xfId="63" applyFont="1" applyFill="1" applyProtection="1">
      <alignment/>
      <protection hidden="1"/>
    </xf>
    <xf numFmtId="0" fontId="0" fillId="35" borderId="12" xfId="63" applyFill="1" applyBorder="1" applyProtection="1">
      <alignment/>
      <protection hidden="1"/>
    </xf>
    <xf numFmtId="0" fontId="0" fillId="35" borderId="13" xfId="63" applyFill="1" applyBorder="1" applyAlignment="1" applyProtection="1">
      <alignment horizontal="right"/>
      <protection hidden="1"/>
    </xf>
    <xf numFmtId="0" fontId="0" fillId="35" borderId="13" xfId="63" applyFill="1" applyBorder="1" applyProtection="1">
      <alignment/>
      <protection hidden="1"/>
    </xf>
    <xf numFmtId="0" fontId="0" fillId="35" borderId="14" xfId="63" applyFill="1" applyBorder="1" applyAlignment="1" applyProtection="1">
      <alignment horizontal="right"/>
      <protection hidden="1"/>
    </xf>
    <xf numFmtId="0" fontId="0" fillId="35" borderId="15" xfId="63" applyFill="1" applyBorder="1" applyProtection="1">
      <alignment/>
      <protection hidden="1"/>
    </xf>
    <xf numFmtId="166" fontId="0" fillId="36" borderId="0" xfId="48" applyNumberFormat="1" applyFont="1" applyFill="1" applyBorder="1" applyAlignment="1" applyProtection="1">
      <alignment/>
      <protection hidden="1"/>
    </xf>
    <xf numFmtId="9" fontId="0" fillId="35" borderId="0" xfId="63" applyNumberFormat="1" applyFill="1" applyAlignment="1" applyProtection="1">
      <alignment horizontal="center"/>
      <protection hidden="1"/>
    </xf>
    <xf numFmtId="166" fontId="0" fillId="36" borderId="16" xfId="63" applyNumberFormat="1" applyFill="1" applyBorder="1" applyProtection="1">
      <alignment/>
      <protection hidden="1"/>
    </xf>
    <xf numFmtId="44" fontId="0" fillId="14" borderId="0" xfId="63" applyNumberFormat="1" applyFill="1" applyProtection="1">
      <alignment/>
      <protection hidden="1"/>
    </xf>
    <xf numFmtId="0" fontId="0" fillId="0" borderId="10" xfId="63" applyBorder="1" applyAlignment="1" applyProtection="1">
      <alignment horizontal="center"/>
      <protection hidden="1"/>
    </xf>
    <xf numFmtId="0" fontId="1" fillId="14" borderId="0" xfId="63" applyFont="1" applyFill="1" applyAlignment="1" applyProtection="1">
      <alignment horizontal="center"/>
      <protection hidden="1"/>
    </xf>
    <xf numFmtId="0" fontId="0" fillId="0" borderId="17" xfId="63" applyBorder="1" applyProtection="1">
      <alignment/>
      <protection hidden="1"/>
    </xf>
    <xf numFmtId="0" fontId="0" fillId="0" borderId="11" xfId="63" applyBorder="1" applyProtection="1">
      <alignment/>
      <protection hidden="1"/>
    </xf>
    <xf numFmtId="0" fontId="0" fillId="35" borderId="18" xfId="63" applyFill="1" applyBorder="1" applyProtection="1">
      <alignment/>
      <protection hidden="1"/>
    </xf>
    <xf numFmtId="0" fontId="0" fillId="35" borderId="19" xfId="63" applyFill="1" applyBorder="1" applyProtection="1">
      <alignment/>
      <protection hidden="1"/>
    </xf>
    <xf numFmtId="166" fontId="0" fillId="36" borderId="20" xfId="63" applyNumberFormat="1" applyFill="1" applyBorder="1" applyProtection="1">
      <alignment/>
      <protection hidden="1"/>
    </xf>
    <xf numFmtId="166" fontId="0" fillId="14" borderId="0" xfId="63" applyNumberFormat="1" applyFill="1" applyProtection="1">
      <alignment/>
      <protection hidden="1"/>
    </xf>
    <xf numFmtId="0" fontId="67" fillId="0" borderId="0" xfId="63" applyFont="1" applyProtection="1">
      <alignment/>
      <protection hidden="1"/>
    </xf>
    <xf numFmtId="0" fontId="1" fillId="36" borderId="0" xfId="63" applyFont="1" applyFill="1" applyProtection="1">
      <alignment/>
      <protection hidden="1"/>
    </xf>
    <xf numFmtId="0" fontId="0" fillId="36" borderId="0" xfId="63" applyFill="1" applyProtection="1">
      <alignment/>
      <protection hidden="1"/>
    </xf>
    <xf numFmtId="0" fontId="1" fillId="0" borderId="0" xfId="63" applyFont="1" applyAlignment="1" applyProtection="1">
      <alignment vertical="center" wrapText="1"/>
      <protection hidden="1"/>
    </xf>
    <xf numFmtId="0" fontId="0" fillId="0" borderId="0" xfId="63" applyAlignment="1" applyProtection="1">
      <alignment horizontal="center" vertical="center" wrapText="1"/>
      <protection hidden="1"/>
    </xf>
    <xf numFmtId="0" fontId="0" fillId="0" borderId="0" xfId="63" applyAlignment="1" applyProtection="1">
      <alignment vertical="center" wrapText="1"/>
      <protection hidden="1"/>
    </xf>
    <xf numFmtId="0" fontId="1" fillId="14" borderId="0" xfId="63" applyFont="1" applyFill="1" applyProtection="1">
      <alignment/>
      <protection hidden="1"/>
    </xf>
    <xf numFmtId="9" fontId="0" fillId="0" borderId="0" xfId="63" applyNumberFormat="1" applyAlignment="1" applyProtection="1">
      <alignment horizontal="center" vertical="center" wrapText="1"/>
      <protection hidden="1"/>
    </xf>
    <xf numFmtId="0" fontId="64" fillId="0" borderId="0" xfId="63" applyFont="1" applyProtection="1">
      <alignment/>
      <protection hidden="1"/>
    </xf>
    <xf numFmtId="44" fontId="0" fillId="14" borderId="0" xfId="48" applyFont="1" applyFill="1" applyBorder="1" applyAlignment="1" applyProtection="1">
      <alignment/>
      <protection hidden="1"/>
    </xf>
    <xf numFmtId="0" fontId="0" fillId="0" borderId="0" xfId="63" applyFill="1" applyAlignment="1" applyProtection="1">
      <alignment vertical="center" wrapText="1"/>
      <protection hidden="1"/>
    </xf>
    <xf numFmtId="187" fontId="0" fillId="0" borderId="0" xfId="45" applyNumberFormat="1" applyFont="1" applyFill="1" applyAlignment="1" applyProtection="1">
      <alignment/>
      <protection hidden="1"/>
    </xf>
    <xf numFmtId="44" fontId="0" fillId="36" borderId="0" xfId="48" applyFont="1" applyFill="1" applyBorder="1" applyAlignment="1" applyProtection="1">
      <alignment/>
      <protection hidden="1"/>
    </xf>
    <xf numFmtId="44" fontId="0" fillId="14" borderId="0" xfId="48" applyFont="1" applyFill="1" applyAlignment="1" applyProtection="1">
      <alignment/>
      <protection hidden="1"/>
    </xf>
    <xf numFmtId="0" fontId="0" fillId="14" borderId="0" xfId="63" applyFill="1" applyAlignment="1" applyProtection="1">
      <alignment horizontal="right"/>
      <protection hidden="1"/>
    </xf>
    <xf numFmtId="187" fontId="0" fillId="35" borderId="0" xfId="45" applyNumberFormat="1" applyFont="1" applyFill="1" applyAlignment="1" applyProtection="1">
      <alignment/>
      <protection hidden="1"/>
    </xf>
    <xf numFmtId="10" fontId="0" fillId="0" borderId="0" xfId="68" applyNumberFormat="1" applyFont="1" applyAlignment="1" applyProtection="1">
      <alignment horizontal="center"/>
      <protection hidden="1"/>
    </xf>
    <xf numFmtId="187" fontId="0" fillId="37" borderId="0" xfId="45" applyNumberFormat="1" applyFont="1" applyFill="1" applyAlignment="1" applyProtection="1">
      <alignment/>
      <protection hidden="1"/>
    </xf>
    <xf numFmtId="0" fontId="1" fillId="0" borderId="0" xfId="63" applyFont="1" applyFill="1" applyAlignment="1" applyProtection="1">
      <alignment vertical="center" wrapText="1"/>
      <protection hidden="1"/>
    </xf>
    <xf numFmtId="187" fontId="0" fillId="0" borderId="0" xfId="45" applyNumberFormat="1" applyFont="1" applyAlignment="1" applyProtection="1">
      <alignment/>
      <protection hidden="1"/>
    </xf>
    <xf numFmtId="1" fontId="66" fillId="0" borderId="0" xfId="63" applyNumberFormat="1" applyFont="1" applyProtection="1">
      <alignment/>
      <protection hidden="1"/>
    </xf>
    <xf numFmtId="10" fontId="0" fillId="35" borderId="0" xfId="68" applyNumberFormat="1" applyFont="1" applyFill="1" applyAlignment="1" applyProtection="1">
      <alignment horizontal="center"/>
      <protection hidden="1"/>
    </xf>
    <xf numFmtId="0" fontId="66" fillId="14" borderId="0" xfId="63" applyFont="1" applyFill="1" applyProtection="1">
      <alignment/>
      <protection hidden="1"/>
    </xf>
    <xf numFmtId="44" fontId="66" fillId="14" borderId="0" xfId="48" applyFont="1" applyFill="1" applyAlignment="1" applyProtection="1">
      <alignment/>
      <protection hidden="1"/>
    </xf>
    <xf numFmtId="1" fontId="0" fillId="0" borderId="0" xfId="63" applyNumberFormat="1" applyProtection="1">
      <alignment/>
      <protection hidden="1"/>
    </xf>
    <xf numFmtId="44" fontId="0" fillId="0" borderId="0" xfId="48" applyFont="1" applyAlignment="1" applyProtection="1">
      <alignment/>
      <protection hidden="1"/>
    </xf>
    <xf numFmtId="187" fontId="0" fillId="0" borderId="0" xfId="63" applyNumberFormat="1" applyProtection="1">
      <alignment/>
      <protection hidden="1"/>
    </xf>
    <xf numFmtId="44" fontId="0" fillId="0" borderId="0" xfId="63" applyNumberFormat="1" applyProtection="1">
      <alignment/>
      <protection hidden="1"/>
    </xf>
    <xf numFmtId="187" fontId="64" fillId="0" borderId="0" xfId="45" applyNumberFormat="1" applyFont="1" applyAlignment="1" applyProtection="1">
      <alignment/>
      <protection hidden="1"/>
    </xf>
    <xf numFmtId="43" fontId="64" fillId="36" borderId="0" xfId="45" applyFont="1" applyFill="1" applyAlignment="1" applyProtection="1">
      <alignment/>
      <protection hidden="1"/>
    </xf>
    <xf numFmtId="44" fontId="1" fillId="14" borderId="0" xfId="48" applyFont="1" applyFill="1" applyAlignment="1" applyProtection="1">
      <alignment/>
      <protection hidden="1"/>
    </xf>
    <xf numFmtId="0" fontId="0" fillId="35" borderId="0" xfId="63" applyFill="1" applyProtection="1">
      <alignment/>
      <protection hidden="1"/>
    </xf>
    <xf numFmtId="44" fontId="0" fillId="35" borderId="0" xfId="48" applyFont="1" applyFill="1" applyAlignment="1" applyProtection="1">
      <alignment/>
      <protection hidden="1"/>
    </xf>
    <xf numFmtId="43" fontId="0" fillId="0" borderId="0" xfId="63" applyNumberFormat="1" applyProtection="1">
      <alignment/>
      <protection hidden="1"/>
    </xf>
    <xf numFmtId="166" fontId="0" fillId="0" borderId="0" xfId="48" applyNumberFormat="1" applyFont="1" applyAlignment="1" applyProtection="1">
      <alignment/>
      <protection hidden="1"/>
    </xf>
    <xf numFmtId="0" fontId="66" fillId="35" borderId="0" xfId="63" applyFont="1" applyFill="1" applyProtection="1">
      <alignment/>
      <protection hidden="1"/>
    </xf>
    <xf numFmtId="44" fontId="0" fillId="35" borderId="0" xfId="63" applyNumberFormat="1" applyFill="1" applyProtection="1">
      <alignment/>
      <protection hidden="1"/>
    </xf>
    <xf numFmtId="43" fontId="0" fillId="0" borderId="0" xfId="45" applyFont="1" applyFill="1" applyAlignment="1" applyProtection="1">
      <alignment/>
      <protection hidden="1"/>
    </xf>
    <xf numFmtId="43" fontId="0" fillId="0" borderId="0" xfId="45" applyFont="1" applyAlignment="1" applyProtection="1">
      <alignment/>
      <protection hidden="1"/>
    </xf>
    <xf numFmtId="0" fontId="1" fillId="0" borderId="0" xfId="63" applyFont="1" applyAlignment="1" applyProtection="1">
      <alignment vertical="center"/>
      <protection hidden="1"/>
    </xf>
    <xf numFmtId="44" fontId="1" fillId="14" borderId="0" xfId="48" applyFont="1" applyFill="1" applyAlignment="1" applyProtection="1">
      <alignment horizontal="center"/>
      <protection hidden="1"/>
    </xf>
    <xf numFmtId="0" fontId="0" fillId="36" borderId="21" xfId="63" applyFill="1" applyBorder="1" applyProtection="1">
      <alignment/>
      <protection hidden="1"/>
    </xf>
    <xf numFmtId="0" fontId="14" fillId="36" borderId="22" xfId="63" applyFont="1" applyFill="1" applyBorder="1" applyProtection="1">
      <alignment/>
      <protection hidden="1"/>
    </xf>
    <xf numFmtId="0" fontId="0" fillId="36" borderId="22" xfId="63" applyFill="1" applyBorder="1" applyProtection="1">
      <alignment/>
      <protection hidden="1"/>
    </xf>
    <xf numFmtId="0" fontId="0" fillId="36" borderId="23" xfId="63" applyFill="1" applyBorder="1" applyProtection="1">
      <alignment/>
      <protection hidden="1"/>
    </xf>
    <xf numFmtId="0" fontId="0" fillId="36" borderId="24" xfId="63" applyFill="1" applyBorder="1" applyProtection="1">
      <alignment/>
      <protection hidden="1"/>
    </xf>
    <xf numFmtId="0" fontId="0" fillId="36" borderId="0" xfId="63" applyFill="1" applyBorder="1" applyProtection="1">
      <alignment/>
      <protection hidden="1"/>
    </xf>
    <xf numFmtId="0" fontId="0" fillId="36" borderId="25" xfId="63" applyFill="1" applyBorder="1" applyProtection="1">
      <alignment/>
      <protection hidden="1"/>
    </xf>
    <xf numFmtId="0" fontId="14" fillId="36" borderId="0" xfId="63" applyFont="1" applyFill="1" applyBorder="1" applyAlignment="1" applyProtection="1">
      <alignment horizontal="center"/>
      <protection hidden="1"/>
    </xf>
    <xf numFmtId="0" fontId="14" fillId="36" borderId="25" xfId="63" applyFont="1" applyFill="1" applyBorder="1" applyAlignment="1" applyProtection="1">
      <alignment horizontal="center"/>
      <protection hidden="1"/>
    </xf>
    <xf numFmtId="44" fontId="0" fillId="36" borderId="0" xfId="46" applyFont="1" applyFill="1" applyBorder="1" applyAlignment="1" applyProtection="1">
      <alignment/>
      <protection hidden="1"/>
    </xf>
    <xf numFmtId="44" fontId="0" fillId="36" borderId="25" xfId="46" applyFont="1" applyFill="1" applyBorder="1" applyAlignment="1" applyProtection="1">
      <alignment/>
      <protection hidden="1"/>
    </xf>
    <xf numFmtId="0" fontId="0" fillId="36" borderId="24" xfId="63" applyFont="1" applyFill="1" applyBorder="1" applyAlignment="1" applyProtection="1">
      <alignment horizontal="left"/>
      <protection hidden="1"/>
    </xf>
    <xf numFmtId="44" fontId="0" fillId="36" borderId="22" xfId="46" applyFont="1" applyFill="1" applyBorder="1" applyAlignment="1" applyProtection="1">
      <alignment/>
      <protection hidden="1"/>
    </xf>
    <xf numFmtId="44" fontId="0" fillId="36" borderId="23" xfId="46" applyFont="1" applyFill="1" applyBorder="1" applyAlignment="1" applyProtection="1">
      <alignment/>
      <protection hidden="1"/>
    </xf>
    <xf numFmtId="0" fontId="0" fillId="36" borderId="24" xfId="63" applyFill="1" applyBorder="1" applyAlignment="1" applyProtection="1">
      <alignment horizontal="left"/>
      <protection hidden="1"/>
    </xf>
    <xf numFmtId="8" fontId="0" fillId="36" borderId="0" xfId="63" applyNumberFormat="1" applyFill="1" applyBorder="1" applyProtection="1">
      <alignment/>
      <protection hidden="1"/>
    </xf>
    <xf numFmtId="166" fontId="0" fillId="0" borderId="0" xfId="63" applyNumberFormat="1" applyProtection="1">
      <alignment/>
      <protection hidden="1"/>
    </xf>
    <xf numFmtId="0" fontId="0" fillId="36" borderId="26" xfId="63" applyFill="1" applyBorder="1" applyProtection="1">
      <alignment/>
      <protection hidden="1"/>
    </xf>
    <xf numFmtId="44" fontId="0" fillId="36" borderId="27" xfId="46" applyFont="1" applyFill="1" applyBorder="1" applyAlignment="1" applyProtection="1">
      <alignment/>
      <protection hidden="1"/>
    </xf>
    <xf numFmtId="0" fontId="0" fillId="36" borderId="27" xfId="63" applyFill="1" applyBorder="1" applyProtection="1">
      <alignment/>
      <protection hidden="1"/>
    </xf>
    <xf numFmtId="44" fontId="0" fillId="36" borderId="28" xfId="46" applyFont="1" applyFill="1" applyBorder="1" applyAlignment="1" applyProtection="1">
      <alignment/>
      <protection hidden="1"/>
    </xf>
    <xf numFmtId="44" fontId="0" fillId="14" borderId="0" xfId="48" applyFont="1" applyFill="1" applyBorder="1" applyAlignment="1" applyProtection="1">
      <alignment horizontal="center"/>
      <protection hidden="1"/>
    </xf>
    <xf numFmtId="0" fontId="3" fillId="14" borderId="0" xfId="0" applyFont="1" applyFill="1" applyAlignment="1" applyProtection="1">
      <alignment/>
      <protection hidden="1"/>
    </xf>
    <xf numFmtId="44" fontId="19" fillId="14" borderId="0" xfId="48" applyFont="1" applyFill="1" applyBorder="1" applyAlignment="1" applyProtection="1">
      <alignment horizontal="center"/>
      <protection hidden="1"/>
    </xf>
    <xf numFmtId="9" fontId="0" fillId="14" borderId="0" xfId="67" applyFont="1" applyFill="1" applyAlignment="1" applyProtection="1">
      <alignment horizontal="center"/>
      <protection hidden="1"/>
    </xf>
    <xf numFmtId="0" fontId="1" fillId="14" borderId="0" xfId="63" applyFont="1" applyFill="1" applyAlignment="1" applyProtection="1">
      <alignment horizontal="left"/>
      <protection hidden="1"/>
    </xf>
    <xf numFmtId="10" fontId="0" fillId="14" borderId="0" xfId="68" applyNumberFormat="1" applyFont="1" applyFill="1" applyBorder="1" applyAlignment="1" applyProtection="1">
      <alignment horizontal="center"/>
      <protection hidden="1"/>
    </xf>
    <xf numFmtId="0" fontId="0" fillId="14" borderId="0" xfId="0" applyFont="1" applyFill="1" applyAlignment="1" applyProtection="1">
      <alignment horizontal="left"/>
      <protection hidden="1"/>
    </xf>
    <xf numFmtId="0" fontId="14" fillId="0" borderId="0" xfId="63" applyFont="1" applyProtection="1">
      <alignment/>
      <protection hidden="1"/>
    </xf>
    <xf numFmtId="9" fontId="0" fillId="14" borderId="0" xfId="67" applyFont="1" applyFill="1" applyBorder="1" applyAlignment="1" applyProtection="1">
      <alignment horizontal="center"/>
      <protection hidden="1"/>
    </xf>
    <xf numFmtId="0" fontId="3" fillId="14" borderId="0" xfId="63" applyFont="1" applyFill="1" applyAlignment="1" applyProtection="1">
      <alignment horizontal="center"/>
      <protection hidden="1"/>
    </xf>
    <xf numFmtId="0" fontId="3" fillId="0" borderId="0" xfId="0" applyFont="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protection hidden="1"/>
    </xf>
    <xf numFmtId="0" fontId="0" fillId="14" borderId="0" xfId="0" applyFont="1" applyFill="1" applyAlignment="1" applyProtection="1">
      <alignment horizontal="center"/>
      <protection hidden="1"/>
    </xf>
    <xf numFmtId="0" fontId="0" fillId="0" borderId="0" xfId="0" applyFill="1" applyAlignment="1" applyProtection="1">
      <alignment/>
      <protection hidden="1"/>
    </xf>
    <xf numFmtId="0" fontId="1" fillId="0" borderId="10" xfId="0" applyFont="1" applyBorder="1" applyAlignment="1" applyProtection="1">
      <alignment horizontal="center"/>
      <protection hidden="1"/>
    </xf>
    <xf numFmtId="44" fontId="0" fillId="0" borderId="0" xfId="46" applyFont="1" applyAlignment="1" applyProtection="1">
      <alignment/>
      <protection hidden="1"/>
    </xf>
    <xf numFmtId="0" fontId="0" fillId="14" borderId="0" xfId="0" applyFont="1" applyFill="1" applyAlignment="1" applyProtection="1">
      <alignment/>
      <protection hidden="1"/>
    </xf>
    <xf numFmtId="0" fontId="13" fillId="0" borderId="0" xfId="0" applyFont="1" applyAlignment="1" applyProtection="1">
      <alignment vertical="center"/>
      <protection hidden="1"/>
    </xf>
    <xf numFmtId="168" fontId="0" fillId="14" borderId="10" xfId="67" applyNumberFormat="1" applyFont="1" applyFill="1" applyBorder="1" applyAlignment="1" applyProtection="1">
      <alignment horizontal="center"/>
      <protection hidden="1"/>
    </xf>
    <xf numFmtId="9" fontId="0" fillId="14" borderId="10" xfId="67" applyFont="1" applyFill="1" applyBorder="1" applyAlignment="1" applyProtection="1">
      <alignment horizontal="center"/>
      <protection hidden="1"/>
    </xf>
    <xf numFmtId="0" fontId="0" fillId="14" borderId="0" xfId="0" applyFill="1" applyBorder="1" applyAlignment="1" applyProtection="1">
      <alignment/>
      <protection hidden="1"/>
    </xf>
    <xf numFmtId="0" fontId="0" fillId="14" borderId="0" xfId="0" applyFill="1" applyAlignment="1" applyProtection="1">
      <alignment horizontal="center"/>
      <protection hidden="1"/>
    </xf>
    <xf numFmtId="44" fontId="0" fillId="14" borderId="0" xfId="0" applyNumberFormat="1" applyFill="1" applyAlignment="1" applyProtection="1">
      <alignment/>
      <protection hidden="1"/>
    </xf>
    <xf numFmtId="0" fontId="7" fillId="14" borderId="0" xfId="64" applyFont="1" applyFill="1" applyAlignment="1" applyProtection="1">
      <alignment horizontal="center"/>
      <protection hidden="1"/>
    </xf>
    <xf numFmtId="0" fontId="0" fillId="0" borderId="0" xfId="0" applyFont="1" applyAlignment="1" applyProtection="1">
      <alignment horizontal="center"/>
      <protection hidden="1"/>
    </xf>
    <xf numFmtId="0" fontId="0" fillId="14" borderId="0" xfId="0" applyFill="1" applyAlignment="1" applyProtection="1" quotePrefix="1">
      <alignment/>
      <protection hidden="1"/>
    </xf>
    <xf numFmtId="10" fontId="0" fillId="14" borderId="0" xfId="67" applyNumberFormat="1" applyFont="1" applyFill="1" applyAlignment="1" applyProtection="1">
      <alignment/>
      <protection hidden="1"/>
    </xf>
    <xf numFmtId="1" fontId="0" fillId="14" borderId="0" xfId="0" applyNumberFormat="1" applyFill="1" applyAlignment="1" applyProtection="1">
      <alignment/>
      <protection hidden="1"/>
    </xf>
    <xf numFmtId="44" fontId="0" fillId="0" borderId="10" xfId="46" applyFont="1" applyFill="1" applyBorder="1" applyAlignment="1" applyProtection="1">
      <alignment/>
      <protection hidden="1"/>
    </xf>
    <xf numFmtId="0" fontId="0" fillId="0" borderId="10" xfId="0" applyFill="1" applyBorder="1" applyAlignment="1" applyProtection="1">
      <alignment horizontal="center"/>
      <protection hidden="1"/>
    </xf>
    <xf numFmtId="166" fontId="0" fillId="14" borderId="0" xfId="46" applyNumberFormat="1" applyFont="1" applyFill="1" applyAlignment="1" applyProtection="1">
      <alignment/>
      <protection hidden="1"/>
    </xf>
    <xf numFmtId="0" fontId="0" fillId="14" borderId="0" xfId="0" applyFill="1" applyBorder="1" applyAlignment="1" applyProtection="1">
      <alignment horizontal="right"/>
      <protection hidden="1"/>
    </xf>
    <xf numFmtId="0" fontId="3" fillId="35" borderId="0" xfId="0" applyFont="1" applyFill="1" applyBorder="1" applyAlignment="1" applyProtection="1">
      <alignment/>
      <protection hidden="1"/>
    </xf>
    <xf numFmtId="0" fontId="0" fillId="35" borderId="0" xfId="0" applyFill="1" applyAlignment="1" applyProtection="1">
      <alignment/>
      <protection hidden="1"/>
    </xf>
    <xf numFmtId="44" fontId="0" fillId="0" borderId="10" xfId="46" applyFont="1" applyBorder="1" applyAlignment="1" applyProtection="1">
      <alignment/>
      <protection hidden="1"/>
    </xf>
    <xf numFmtId="44" fontId="0" fillId="0" borderId="0" xfId="0" applyNumberFormat="1" applyAlignment="1" applyProtection="1">
      <alignment horizontal="center"/>
      <protection hidden="1"/>
    </xf>
    <xf numFmtId="0" fontId="0" fillId="14" borderId="0" xfId="0" applyFill="1" applyAlignment="1" applyProtection="1">
      <alignment horizontal="left"/>
      <protection hidden="1"/>
    </xf>
    <xf numFmtId="0" fontId="6" fillId="14" borderId="0" xfId="0" applyFont="1" applyFill="1" applyAlignment="1" applyProtection="1">
      <alignment/>
      <protection hidden="1"/>
    </xf>
    <xf numFmtId="0" fontId="7" fillId="14" borderId="0" xfId="0" applyFont="1" applyFill="1" applyAlignment="1" applyProtection="1">
      <alignment/>
      <protection hidden="1"/>
    </xf>
    <xf numFmtId="0" fontId="68" fillId="14" borderId="0" xfId="0" applyFont="1" applyFill="1" applyAlignment="1" applyProtection="1">
      <alignment horizontal="center"/>
      <protection hidden="1"/>
    </xf>
    <xf numFmtId="0" fontId="7" fillId="14" borderId="0" xfId="0" applyFont="1" applyFill="1" applyAlignment="1" applyProtection="1">
      <alignment horizontal="center"/>
      <protection hidden="1"/>
    </xf>
    <xf numFmtId="0" fontId="64" fillId="14" borderId="0" xfId="0" applyFont="1" applyFill="1" applyAlignment="1" applyProtection="1">
      <alignment horizontal="center"/>
      <protection hidden="1"/>
    </xf>
    <xf numFmtId="0" fontId="0" fillId="14" borderId="0" xfId="0" applyFont="1" applyFill="1" applyBorder="1" applyAlignment="1" applyProtection="1">
      <alignment/>
      <protection hidden="1"/>
    </xf>
    <xf numFmtId="0" fontId="7" fillId="14" borderId="0" xfId="0" applyFont="1" applyFill="1" applyBorder="1" applyAlignment="1" applyProtection="1">
      <alignment horizontal="center"/>
      <protection hidden="1"/>
    </xf>
    <xf numFmtId="0" fontId="7" fillId="14" borderId="0" xfId="0" applyFont="1" applyFill="1" applyBorder="1" applyAlignment="1" applyProtection="1">
      <alignment/>
      <protection hidden="1"/>
    </xf>
    <xf numFmtId="0" fontId="68" fillId="14" borderId="0" xfId="0" applyFont="1" applyFill="1" applyBorder="1" applyAlignment="1" applyProtection="1">
      <alignment horizontal="center"/>
      <protection hidden="1"/>
    </xf>
    <xf numFmtId="0" fontId="68" fillId="14" borderId="0" xfId="0" applyFont="1" applyFill="1" applyAlignment="1" applyProtection="1">
      <alignment/>
      <protection hidden="1"/>
    </xf>
    <xf numFmtId="44" fontId="7" fillId="14" borderId="0" xfId="46" applyNumberFormat="1" applyFont="1" applyFill="1" applyBorder="1" applyAlignment="1" applyProtection="1">
      <alignment horizontal="center"/>
      <protection hidden="1"/>
    </xf>
    <xf numFmtId="0" fontId="3" fillId="0" borderId="0" xfId="0" applyFont="1" applyAlignment="1" applyProtection="1">
      <alignment/>
      <protection hidden="1"/>
    </xf>
    <xf numFmtId="0" fontId="18" fillId="14" borderId="0" xfId="0" applyFont="1" applyFill="1" applyBorder="1" applyAlignment="1" applyProtection="1">
      <alignment horizontal="left"/>
      <protection hidden="1"/>
    </xf>
    <xf numFmtId="0" fontId="64" fillId="14" borderId="27" xfId="0" applyFont="1" applyFill="1" applyBorder="1" applyAlignment="1" applyProtection="1">
      <alignment horizontal="left"/>
      <protection hidden="1"/>
    </xf>
    <xf numFmtId="0" fontId="0" fillId="14" borderId="27" xfId="0" applyFill="1" applyBorder="1" applyAlignment="1" applyProtection="1">
      <alignment horizontal="center"/>
      <protection hidden="1"/>
    </xf>
    <xf numFmtId="0" fontId="7" fillId="14" borderId="0" xfId="0" applyFont="1" applyFill="1" applyBorder="1" applyAlignment="1" applyProtection="1">
      <alignment horizontal="left"/>
      <protection hidden="1"/>
    </xf>
    <xf numFmtId="44" fontId="6" fillId="14" borderId="0" xfId="46" applyNumberFormat="1" applyFont="1" applyFill="1" applyBorder="1" applyAlignment="1" applyProtection="1">
      <alignment/>
      <protection hidden="1"/>
    </xf>
    <xf numFmtId="0" fontId="0" fillId="0" borderId="0" xfId="0" applyFont="1" applyAlignment="1" applyProtection="1">
      <alignment/>
      <protection hidden="1"/>
    </xf>
    <xf numFmtId="0" fontId="0" fillId="38" borderId="21" xfId="0" applyFill="1" applyBorder="1" applyAlignment="1" applyProtection="1">
      <alignment horizontal="center"/>
      <protection hidden="1"/>
    </xf>
    <xf numFmtId="0" fontId="0" fillId="38" borderId="23" xfId="0" applyFill="1" applyBorder="1" applyAlignment="1" applyProtection="1">
      <alignment horizontal="right"/>
      <protection hidden="1"/>
    </xf>
    <xf numFmtId="0" fontId="0" fillId="38" borderId="26" xfId="0" applyFill="1" applyBorder="1" applyAlignment="1" applyProtection="1">
      <alignment horizontal="center"/>
      <protection hidden="1"/>
    </xf>
    <xf numFmtId="0" fontId="0" fillId="38" borderId="28" xfId="0" applyFill="1" applyBorder="1" applyAlignment="1" applyProtection="1">
      <alignment horizontal="right"/>
      <protection hidden="1"/>
    </xf>
    <xf numFmtId="0" fontId="0" fillId="0" borderId="0" xfId="0" applyFont="1" applyFill="1"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0" fillId="38" borderId="21" xfId="0" applyFill="1" applyBorder="1" applyAlignment="1" applyProtection="1">
      <alignment/>
      <protection hidden="1"/>
    </xf>
    <xf numFmtId="0" fontId="0" fillId="38" borderId="22" xfId="0" applyFill="1" applyBorder="1" applyAlignment="1" applyProtection="1">
      <alignment/>
      <protection hidden="1"/>
    </xf>
    <xf numFmtId="0" fontId="0" fillId="38" borderId="23" xfId="0" applyFill="1" applyBorder="1" applyAlignment="1" applyProtection="1">
      <alignment/>
      <protection hidden="1"/>
    </xf>
    <xf numFmtId="0" fontId="0" fillId="38" borderId="21" xfId="0" applyFont="1" applyFill="1" applyBorder="1" applyAlignment="1" applyProtection="1">
      <alignment horizontal="right"/>
      <protection hidden="1"/>
    </xf>
    <xf numFmtId="0" fontId="14" fillId="38" borderId="23" xfId="0" applyFont="1" applyFill="1" applyBorder="1" applyAlignment="1" applyProtection="1">
      <alignment horizontal="right"/>
      <protection hidden="1"/>
    </xf>
    <xf numFmtId="166" fontId="0" fillId="14" borderId="0" xfId="46" applyNumberFormat="1" applyFont="1" applyFill="1" applyAlignment="1" applyProtection="1">
      <alignment horizontal="left"/>
      <protection hidden="1"/>
    </xf>
    <xf numFmtId="0" fontId="0" fillId="38" borderId="24" xfId="0" applyFill="1" applyBorder="1" applyAlignment="1" applyProtection="1">
      <alignment/>
      <protection hidden="1"/>
    </xf>
    <xf numFmtId="0" fontId="0" fillId="38" borderId="0" xfId="0" applyFill="1" applyBorder="1" applyAlignment="1" applyProtection="1">
      <alignment/>
      <protection hidden="1"/>
    </xf>
    <xf numFmtId="0" fontId="0" fillId="38" borderId="25" xfId="0" applyFill="1" applyBorder="1" applyAlignment="1" applyProtection="1">
      <alignment horizontal="center"/>
      <protection hidden="1"/>
    </xf>
    <xf numFmtId="0" fontId="0" fillId="38" borderId="25" xfId="0" applyFill="1" applyBorder="1" applyAlignment="1" applyProtection="1">
      <alignment/>
      <protection hidden="1"/>
    </xf>
    <xf numFmtId="0" fontId="0" fillId="0" borderId="0" xfId="46" applyNumberFormat="1" applyFont="1" applyAlignment="1" applyProtection="1">
      <alignment/>
      <protection hidden="1"/>
    </xf>
    <xf numFmtId="0" fontId="0" fillId="0" borderId="0" xfId="0" applyFill="1" applyAlignment="1" applyProtection="1">
      <alignment horizontal="center"/>
      <protection hidden="1"/>
    </xf>
    <xf numFmtId="0" fontId="0" fillId="38" borderId="26" xfId="0" applyFill="1" applyBorder="1" applyAlignment="1" applyProtection="1">
      <alignment/>
      <protection hidden="1"/>
    </xf>
    <xf numFmtId="0" fontId="0" fillId="38" borderId="28" xfId="0" applyFill="1" applyBorder="1" applyAlignment="1" applyProtection="1">
      <alignment/>
      <protection hidden="1"/>
    </xf>
    <xf numFmtId="44" fontId="0" fillId="33" borderId="10" xfId="46" applyFont="1" applyFill="1" applyBorder="1" applyAlignment="1" applyProtection="1">
      <alignment/>
      <protection hidden="1"/>
    </xf>
    <xf numFmtId="0" fontId="0" fillId="38" borderId="27" xfId="0" applyFill="1" applyBorder="1" applyAlignment="1" applyProtection="1">
      <alignment/>
      <protection hidden="1"/>
    </xf>
    <xf numFmtId="0" fontId="18" fillId="14" borderId="0" xfId="0" applyFont="1" applyFill="1" applyAlignment="1" applyProtection="1">
      <alignment/>
      <protection hidden="1"/>
    </xf>
    <xf numFmtId="0" fontId="0" fillId="14" borderId="24" xfId="0" applyFill="1" applyBorder="1" applyAlignment="1" applyProtection="1">
      <alignment horizontal="left"/>
      <protection hidden="1"/>
    </xf>
    <xf numFmtId="0" fontId="0" fillId="14" borderId="25" xfId="0" applyFill="1" applyBorder="1" applyAlignment="1" applyProtection="1">
      <alignment horizontal="center"/>
      <protection hidden="1"/>
    </xf>
    <xf numFmtId="44" fontId="68" fillId="14" borderId="0" xfId="46" applyNumberFormat="1" applyFont="1" applyFill="1" applyBorder="1" applyAlignment="1" applyProtection="1">
      <alignment/>
      <protection hidden="1"/>
    </xf>
    <xf numFmtId="44" fontId="7" fillId="14" borderId="0" xfId="46" applyNumberFormat="1" applyFont="1" applyFill="1" applyBorder="1" applyAlignment="1" applyProtection="1">
      <alignment/>
      <protection hidden="1"/>
    </xf>
    <xf numFmtId="0" fontId="0" fillId="0" borderId="0" xfId="46" applyNumberFormat="1" applyFont="1" applyFill="1" applyBorder="1" applyAlignment="1" applyProtection="1">
      <alignment/>
      <protection hidden="1"/>
    </xf>
    <xf numFmtId="0" fontId="0" fillId="0" borderId="0" xfId="0" applyFill="1" applyBorder="1" applyAlignment="1" applyProtection="1">
      <alignment horizontal="center"/>
      <protection hidden="1"/>
    </xf>
    <xf numFmtId="0" fontId="0" fillId="0" borderId="10" xfId="0" applyBorder="1" applyAlignment="1" applyProtection="1">
      <alignment horizontal="center"/>
      <protection hidden="1"/>
    </xf>
    <xf numFmtId="9" fontId="0" fillId="0" borderId="10" xfId="67" applyFont="1" applyBorder="1" applyAlignment="1" applyProtection="1">
      <alignment horizontal="center"/>
      <protection hidden="1"/>
    </xf>
    <xf numFmtId="9" fontId="0" fillId="0" borderId="10" xfId="67" applyNumberFormat="1" applyFont="1" applyFill="1" applyBorder="1" applyAlignment="1" applyProtection="1">
      <alignment horizontal="center"/>
      <protection hidden="1"/>
    </xf>
    <xf numFmtId="0" fontId="1" fillId="0" borderId="0" xfId="0" applyFont="1" applyBorder="1" applyAlignment="1" applyProtection="1">
      <alignment/>
      <protection hidden="1"/>
    </xf>
    <xf numFmtId="0" fontId="0" fillId="6" borderId="29" xfId="0" applyFill="1" applyBorder="1" applyAlignment="1" applyProtection="1">
      <alignment/>
      <protection hidden="1"/>
    </xf>
    <xf numFmtId="44" fontId="0" fillId="0" borderId="0" xfId="46" applyFont="1" applyFill="1" applyAlignment="1" applyProtection="1">
      <alignment/>
      <protection hidden="1"/>
    </xf>
    <xf numFmtId="0" fontId="0" fillId="0" borderId="0" xfId="0" applyFont="1" applyAlignment="1" applyProtection="1">
      <alignment/>
      <protection hidden="1"/>
    </xf>
    <xf numFmtId="44" fontId="0" fillId="0" borderId="0" xfId="0" applyNumberFormat="1" applyFill="1" applyBorder="1" applyAlignment="1" applyProtection="1">
      <alignment/>
      <protection hidden="1"/>
    </xf>
    <xf numFmtId="0" fontId="0" fillId="14" borderId="26" xfId="0" applyFill="1" applyBorder="1" applyAlignment="1" applyProtection="1">
      <alignment/>
      <protection hidden="1"/>
    </xf>
    <xf numFmtId="0" fontId="0" fillId="14" borderId="28" xfId="0" applyFill="1" applyBorder="1" applyAlignment="1" applyProtection="1">
      <alignment horizontal="center"/>
      <protection hidden="1"/>
    </xf>
    <xf numFmtId="0" fontId="1" fillId="0" borderId="0" xfId="0" applyFont="1" applyBorder="1" applyAlignment="1" applyProtection="1">
      <alignment vertical="center"/>
      <protection hidden="1"/>
    </xf>
    <xf numFmtId="0" fontId="0" fillId="0" borderId="0" xfId="0" applyFont="1" applyAlignment="1" applyProtection="1">
      <alignment horizontal="left"/>
      <protection hidden="1"/>
    </xf>
    <xf numFmtId="0" fontId="0" fillId="0" borderId="25" xfId="0" applyFont="1" applyBorder="1" applyAlignment="1" applyProtection="1">
      <alignment horizontal="left"/>
      <protection hidden="1"/>
    </xf>
    <xf numFmtId="0" fontId="0" fillId="35" borderId="0" xfId="0" applyFont="1" applyFill="1" applyAlignment="1" applyProtection="1">
      <alignment/>
      <protection hidden="1"/>
    </xf>
    <xf numFmtId="44" fontId="0" fillId="0" borderId="0" xfId="46" applyNumberFormat="1" applyFont="1" applyFill="1" applyBorder="1" applyAlignment="1" applyProtection="1">
      <alignment/>
      <protection hidden="1"/>
    </xf>
    <xf numFmtId="44" fontId="0" fillId="0" borderId="0" xfId="46" applyNumberFormat="1" applyFont="1" applyFill="1" applyAlignment="1" applyProtection="1">
      <alignment/>
      <protection hidden="1"/>
    </xf>
    <xf numFmtId="0" fontId="0" fillId="14" borderId="0" xfId="0" applyFont="1" applyFill="1" applyAlignment="1" applyProtection="1">
      <alignment/>
      <protection hidden="1"/>
    </xf>
    <xf numFmtId="44" fontId="0" fillId="37" borderId="10" xfId="46" applyFont="1" applyFill="1" applyBorder="1" applyAlignment="1" applyProtection="1">
      <alignment/>
      <protection hidden="1"/>
    </xf>
    <xf numFmtId="44" fontId="0" fillId="0" borderId="10" xfId="0" applyNumberFormat="1" applyFont="1" applyBorder="1" applyAlignment="1" applyProtection="1">
      <alignment/>
      <protection hidden="1"/>
    </xf>
    <xf numFmtId="0" fontId="66" fillId="14" borderId="0" xfId="0" applyFont="1" applyFill="1" applyAlignment="1" applyProtection="1">
      <alignment/>
      <protection hidden="1"/>
    </xf>
    <xf numFmtId="0" fontId="1" fillId="14" borderId="0" xfId="0" applyFont="1" applyFill="1" applyAlignment="1" applyProtection="1">
      <alignment/>
      <protection hidden="1"/>
    </xf>
    <xf numFmtId="2" fontId="1" fillId="14" borderId="0" xfId="0" applyNumberFormat="1" applyFont="1" applyFill="1" applyAlignment="1" applyProtection="1">
      <alignment/>
      <protection hidden="1"/>
    </xf>
    <xf numFmtId="44" fontId="0" fillId="0" borderId="0" xfId="0" applyNumberFormat="1" applyFont="1" applyAlignment="1" applyProtection="1">
      <alignment horizontal="center"/>
      <protection hidden="1"/>
    </xf>
    <xf numFmtId="2" fontId="0" fillId="14" borderId="0" xfId="0" applyNumberFormat="1" applyFont="1" applyFill="1" applyAlignment="1" applyProtection="1">
      <alignment/>
      <protection hidden="1"/>
    </xf>
    <xf numFmtId="44" fontId="0" fillId="33" borderId="10" xfId="46" applyFont="1" applyFill="1" applyBorder="1" applyAlignment="1" applyProtection="1">
      <alignment horizontal="center" vertical="center"/>
      <protection hidden="1"/>
    </xf>
    <xf numFmtId="44" fontId="1" fillId="0" borderId="0" xfId="0" applyNumberFormat="1" applyFont="1" applyAlignment="1" applyProtection="1">
      <alignment/>
      <protection hidden="1"/>
    </xf>
    <xf numFmtId="44" fontId="64" fillId="0" borderId="0" xfId="0" applyNumberFormat="1" applyFont="1" applyFill="1" applyAlignment="1" applyProtection="1">
      <alignment/>
      <protection hidden="1"/>
    </xf>
    <xf numFmtId="10" fontId="0" fillId="0" borderId="10" xfId="67" applyNumberFormat="1" applyFont="1" applyBorder="1" applyAlignment="1" applyProtection="1">
      <alignment horizontal="center"/>
      <protection hidden="1"/>
    </xf>
    <xf numFmtId="166" fontId="1" fillId="14" borderId="0" xfId="46" applyNumberFormat="1" applyFont="1" applyFill="1" applyAlignment="1" applyProtection="1">
      <alignment/>
      <protection hidden="1"/>
    </xf>
    <xf numFmtId="0" fontId="1" fillId="0" borderId="0" xfId="0" applyFont="1" applyAlignment="1" applyProtection="1">
      <alignment horizontal="center"/>
      <protection hidden="1"/>
    </xf>
    <xf numFmtId="44" fontId="1" fillId="0" borderId="0" xfId="0" applyNumberFormat="1" applyFont="1" applyFill="1" applyAlignment="1" applyProtection="1">
      <alignment/>
      <protection hidden="1"/>
    </xf>
    <xf numFmtId="0" fontId="8" fillId="0" borderId="0" xfId="0" applyFont="1" applyAlignment="1" applyProtection="1">
      <alignment/>
      <protection hidden="1"/>
    </xf>
    <xf numFmtId="10" fontId="0" fillId="0" borderId="0" xfId="67" applyNumberFormat="1" applyFont="1" applyBorder="1" applyAlignment="1" applyProtection="1">
      <alignment horizontal="center"/>
      <protection hidden="1"/>
    </xf>
    <xf numFmtId="2" fontId="66" fillId="14" borderId="0" xfId="0" applyNumberFormat="1" applyFont="1" applyFill="1" applyAlignment="1" applyProtection="1">
      <alignment/>
      <protection hidden="1"/>
    </xf>
    <xf numFmtId="44" fontId="1" fillId="0" borderId="0" xfId="46" applyFont="1" applyAlignment="1" applyProtection="1">
      <alignment/>
      <protection hidden="1"/>
    </xf>
    <xf numFmtId="0" fontId="4" fillId="0" borderId="0" xfId="0" applyFont="1" applyBorder="1" applyAlignment="1" applyProtection="1">
      <alignment vertical="center" wrapText="1"/>
      <protection hidden="1"/>
    </xf>
    <xf numFmtId="166" fontId="0" fillId="14" borderId="0" xfId="46" applyNumberFormat="1" applyFont="1" applyFill="1" applyAlignment="1" applyProtection="1">
      <alignment/>
      <protection hidden="1"/>
    </xf>
    <xf numFmtId="0" fontId="0" fillId="14" borderId="27" xfId="0" applyFont="1" applyFill="1" applyBorder="1" applyAlignment="1" applyProtection="1">
      <alignment/>
      <protection hidden="1"/>
    </xf>
    <xf numFmtId="0" fontId="1" fillId="0" borderId="10" xfId="0" applyFont="1" applyBorder="1" applyAlignment="1" applyProtection="1">
      <alignment horizontal="center" vertical="center"/>
      <protection hidden="1"/>
    </xf>
    <xf numFmtId="44" fontId="1" fillId="0" borderId="10" xfId="46" applyFont="1" applyBorder="1" applyAlignment="1" applyProtection="1">
      <alignment horizontal="center" vertical="center"/>
      <protection hidden="1"/>
    </xf>
    <xf numFmtId="0" fontId="1" fillId="0" borderId="10" xfId="0" applyFont="1" applyBorder="1" applyAlignment="1" applyProtection="1">
      <alignment horizontal="center" vertical="center" wrapText="1"/>
      <protection hidden="1"/>
    </xf>
    <xf numFmtId="166" fontId="0" fillId="14" borderId="0" xfId="46" applyNumberFormat="1" applyFont="1" applyFill="1" applyAlignment="1" applyProtection="1">
      <alignment horizontal="center" vertical="center"/>
      <protection hidden="1"/>
    </xf>
    <xf numFmtId="0" fontId="0" fillId="14" borderId="0" xfId="0" applyFont="1" applyFill="1" applyAlignment="1" applyProtection="1">
      <alignment horizontal="center" vertical="center"/>
      <protection hidden="1"/>
    </xf>
    <xf numFmtId="0" fontId="0" fillId="14" borderId="0" xfId="0" applyFill="1" applyAlignment="1" applyProtection="1">
      <alignment horizontal="center" vertical="center"/>
      <protection hidden="1"/>
    </xf>
    <xf numFmtId="186" fontId="0" fillId="0" borderId="10" xfId="46" applyNumberFormat="1" applyFont="1" applyFill="1" applyBorder="1" applyAlignment="1" applyProtection="1">
      <alignment horizontal="center"/>
      <protection hidden="1"/>
    </xf>
    <xf numFmtId="187" fontId="0" fillId="33" borderId="10" xfId="42" applyNumberFormat="1" applyFont="1" applyFill="1" applyBorder="1" applyAlignment="1" applyProtection="1">
      <alignment horizontal="left"/>
      <protection hidden="1"/>
    </xf>
    <xf numFmtId="186" fontId="0" fillId="33" borderId="10" xfId="46" applyNumberFormat="1" applyFont="1" applyFill="1" applyBorder="1" applyAlignment="1" applyProtection="1">
      <alignment horizontal="center"/>
      <protection hidden="1"/>
    </xf>
    <xf numFmtId="10" fontId="0" fillId="33" borderId="10" xfId="67" applyNumberFormat="1" applyFont="1" applyFill="1" applyBorder="1" applyAlignment="1" applyProtection="1">
      <alignment horizontal="center"/>
      <protection hidden="1"/>
    </xf>
    <xf numFmtId="2" fontId="0" fillId="0" borderId="10" xfId="0" applyNumberFormat="1" applyBorder="1" applyAlignment="1" applyProtection="1">
      <alignment horizontal="center"/>
      <protection hidden="1"/>
    </xf>
    <xf numFmtId="2" fontId="0" fillId="14" borderId="0" xfId="0" applyNumberFormat="1" applyFill="1" applyAlignment="1" applyProtection="1">
      <alignment horizontal="center"/>
      <protection hidden="1"/>
    </xf>
    <xf numFmtId="10" fontId="0" fillId="14" borderId="0" xfId="67" applyNumberFormat="1" applyFont="1" applyFill="1" applyAlignment="1" applyProtection="1">
      <alignment horizontal="center"/>
      <protection hidden="1"/>
    </xf>
    <xf numFmtId="175" fontId="0" fillId="14" borderId="0" xfId="0" applyNumberFormat="1" applyFill="1" applyAlignment="1" applyProtection="1">
      <alignment horizontal="center"/>
      <protection hidden="1"/>
    </xf>
    <xf numFmtId="180" fontId="0" fillId="14" borderId="0" xfId="0" applyNumberFormat="1" applyFill="1" applyAlignment="1" applyProtection="1">
      <alignment horizontal="center"/>
      <protection hidden="1"/>
    </xf>
    <xf numFmtId="0" fontId="0" fillId="0" borderId="10" xfId="0" applyFont="1" applyBorder="1" applyAlignment="1" applyProtection="1">
      <alignment horizontal="center" wrapText="1"/>
      <protection hidden="1"/>
    </xf>
    <xf numFmtId="186" fontId="0" fillId="0" borderId="10" xfId="46" applyNumberFormat="1" applyFont="1" applyFill="1" applyBorder="1" applyAlignment="1" applyProtection="1">
      <alignment horizontal="center"/>
      <protection hidden="1"/>
    </xf>
    <xf numFmtId="0" fontId="0" fillId="0" borderId="10" xfId="0" applyFill="1" applyBorder="1" applyAlignment="1" applyProtection="1">
      <alignment/>
      <protection hidden="1"/>
    </xf>
    <xf numFmtId="187" fontId="0" fillId="0" borderId="10" xfId="0" applyNumberFormat="1" applyFill="1" applyBorder="1" applyAlignment="1" applyProtection="1">
      <alignment/>
      <protection hidden="1"/>
    </xf>
    <xf numFmtId="44" fontId="0" fillId="0" borderId="10" xfId="46" applyFont="1" applyFill="1" applyBorder="1" applyAlignment="1" applyProtection="1">
      <alignment/>
      <protection hidden="1"/>
    </xf>
    <xf numFmtId="166" fontId="0" fillId="14" borderId="0" xfId="46" applyNumberFormat="1" applyFont="1" applyFill="1" applyBorder="1" applyAlignment="1" applyProtection="1">
      <alignment/>
      <protection hidden="1"/>
    </xf>
    <xf numFmtId="10" fontId="0" fillId="14" borderId="0" xfId="67" applyNumberFormat="1" applyFont="1" applyFill="1" applyBorder="1" applyAlignment="1" applyProtection="1">
      <alignment/>
      <protection hidden="1"/>
    </xf>
    <xf numFmtId="0" fontId="1" fillId="14" borderId="0" xfId="0" applyFont="1" applyFill="1" applyBorder="1" applyAlignment="1" applyProtection="1">
      <alignment/>
      <protection hidden="1"/>
    </xf>
    <xf numFmtId="166" fontId="66" fillId="14" borderId="0" xfId="46" applyNumberFormat="1" applyFont="1" applyFill="1" applyBorder="1" applyAlignment="1" applyProtection="1">
      <alignment/>
      <protection hidden="1"/>
    </xf>
    <xf numFmtId="0" fontId="66" fillId="14" borderId="0" xfId="0" applyFont="1" applyFill="1" applyBorder="1" applyAlignment="1" applyProtection="1">
      <alignment/>
      <protection hidden="1"/>
    </xf>
    <xf numFmtId="0" fontId="0" fillId="0" borderId="0" xfId="0" applyFont="1" applyFill="1" applyBorder="1" applyAlignment="1" applyProtection="1">
      <alignment horizontal="center" vertical="center" wrapText="1"/>
      <protection hidden="1"/>
    </xf>
    <xf numFmtId="166" fontId="69" fillId="14" borderId="0" xfId="46" applyNumberFormat="1" applyFont="1" applyFill="1" applyBorder="1" applyAlignment="1" applyProtection="1">
      <alignment horizontal="center"/>
      <protection hidden="1"/>
    </xf>
    <xf numFmtId="0" fontId="69" fillId="14" borderId="0" xfId="0" applyFont="1" applyFill="1" applyBorder="1" applyAlignment="1" applyProtection="1">
      <alignment horizontal="center"/>
      <protection hidden="1"/>
    </xf>
    <xf numFmtId="166" fontId="0" fillId="14" borderId="0" xfId="46" applyNumberFormat="1" applyFont="1" applyFill="1" applyBorder="1" applyAlignment="1" applyProtection="1">
      <alignment horizontal="center"/>
      <protection hidden="1"/>
    </xf>
    <xf numFmtId="0" fontId="0" fillId="14" borderId="0" xfId="0" applyFill="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Font="1" applyBorder="1" applyAlignment="1" applyProtection="1">
      <alignment vertical="center" wrapText="1"/>
      <protection hidden="1"/>
    </xf>
    <xf numFmtId="166" fontId="1" fillId="14" borderId="0" xfId="46" applyNumberFormat="1" applyFont="1" applyFill="1" applyBorder="1" applyAlignment="1" applyProtection="1">
      <alignment/>
      <protection hidden="1"/>
    </xf>
    <xf numFmtId="0" fontId="1" fillId="14" borderId="0" xfId="0" applyFont="1" applyFill="1" applyBorder="1" applyAlignment="1" applyProtection="1">
      <alignment/>
      <protection hidden="1"/>
    </xf>
    <xf numFmtId="0" fontId="0" fillId="0" borderId="0" xfId="0" applyFont="1" applyFill="1" applyAlignment="1" applyProtection="1">
      <alignment horizontal="left"/>
      <protection hidden="1"/>
    </xf>
    <xf numFmtId="44" fontId="0" fillId="0" borderId="0" xfId="0" applyNumberFormat="1" applyBorder="1" applyAlignment="1" applyProtection="1">
      <alignment/>
      <protection hidden="1"/>
    </xf>
    <xf numFmtId="0" fontId="1" fillId="0" borderId="0" xfId="0" applyFont="1" applyBorder="1" applyAlignment="1" applyProtection="1">
      <alignment horizontal="center" vertical="center" wrapText="1"/>
      <protection hidden="1"/>
    </xf>
    <xf numFmtId="0" fontId="3" fillId="0" borderId="0" xfId="0" applyFont="1" applyBorder="1" applyAlignment="1" applyProtection="1">
      <alignment/>
      <protection hidden="1"/>
    </xf>
    <xf numFmtId="0" fontId="0" fillId="0" borderId="0" xfId="0" applyBorder="1" applyAlignment="1" applyProtection="1">
      <alignment/>
      <protection hidden="1"/>
    </xf>
    <xf numFmtId="44" fontId="0" fillId="0" borderId="0" xfId="46" applyFont="1" applyBorder="1" applyAlignment="1" applyProtection="1">
      <alignment/>
      <protection hidden="1"/>
    </xf>
    <xf numFmtId="0" fontId="0" fillId="0" borderId="0" xfId="0" applyBorder="1" applyAlignment="1" applyProtection="1">
      <alignment horizontal="center"/>
      <protection hidden="1"/>
    </xf>
    <xf numFmtId="166" fontId="1" fillId="14" borderId="22" xfId="46" applyNumberFormat="1" applyFont="1" applyFill="1" applyBorder="1" applyAlignment="1" applyProtection="1">
      <alignment/>
      <protection hidden="1"/>
    </xf>
    <xf numFmtId="0" fontId="1" fillId="14" borderId="22" xfId="0" applyFont="1" applyFill="1" applyBorder="1" applyAlignment="1" applyProtection="1">
      <alignment/>
      <protection hidden="1"/>
    </xf>
    <xf numFmtId="0" fontId="1" fillId="14" borderId="23" xfId="0" applyFont="1" applyFill="1" applyBorder="1" applyAlignment="1" applyProtection="1">
      <alignment/>
      <protection hidden="1"/>
    </xf>
    <xf numFmtId="0" fontId="1" fillId="14" borderId="0" xfId="0" applyFont="1" applyFill="1" applyAlignment="1" applyProtection="1">
      <alignment horizontal="center" vertical="center"/>
      <protection hidden="1"/>
    </xf>
    <xf numFmtId="0" fontId="1" fillId="0" borderId="0" xfId="0" applyFont="1" applyBorder="1" applyAlignment="1" applyProtection="1">
      <alignment horizontal="left"/>
      <protection hidden="1"/>
    </xf>
    <xf numFmtId="166" fontId="19" fillId="14" borderId="24" xfId="46" applyNumberFormat="1" applyFont="1" applyFill="1" applyBorder="1" applyAlignment="1" applyProtection="1">
      <alignment/>
      <protection hidden="1"/>
    </xf>
    <xf numFmtId="0" fontId="1" fillId="14" borderId="25" xfId="0" applyFont="1" applyFill="1" applyBorder="1" applyAlignment="1" applyProtection="1">
      <alignment/>
      <protection hidden="1"/>
    </xf>
    <xf numFmtId="166" fontId="0" fillId="14" borderId="24" xfId="46" applyNumberFormat="1" applyFont="1" applyFill="1" applyBorder="1" applyAlignment="1" applyProtection="1">
      <alignment/>
      <protection hidden="1"/>
    </xf>
    <xf numFmtId="0" fontId="0" fillId="14" borderId="25" xfId="0" applyFill="1" applyBorder="1" applyAlignment="1" applyProtection="1">
      <alignment/>
      <protection hidden="1"/>
    </xf>
    <xf numFmtId="0" fontId="0" fillId="0" borderId="0" xfId="0" applyFont="1" applyBorder="1" applyAlignment="1" applyProtection="1">
      <alignment/>
      <protection hidden="1"/>
    </xf>
    <xf numFmtId="0" fontId="0" fillId="0" borderId="24" xfId="0" applyFont="1" applyBorder="1" applyAlignment="1" applyProtection="1">
      <alignment/>
      <protection hidden="1"/>
    </xf>
    <xf numFmtId="44" fontId="0" fillId="0" borderId="30" xfId="46" applyFont="1" applyFill="1" applyBorder="1" applyAlignment="1" applyProtection="1">
      <alignment/>
      <protection hidden="1"/>
    </xf>
    <xf numFmtId="0" fontId="0" fillId="0" borderId="0" xfId="0" applyFont="1" applyBorder="1" applyAlignment="1" applyProtection="1">
      <alignment horizontal="right"/>
      <protection hidden="1"/>
    </xf>
    <xf numFmtId="10" fontId="1" fillId="0" borderId="10" xfId="0" applyNumberFormat="1" applyFont="1" applyBorder="1" applyAlignment="1" applyProtection="1">
      <alignment horizontal="center" vertical="center"/>
      <protection hidden="1"/>
    </xf>
    <xf numFmtId="49" fontId="0" fillId="0" borderId="24" xfId="0" applyNumberFormat="1" applyFont="1" applyBorder="1" applyAlignment="1" applyProtection="1">
      <alignment/>
      <protection hidden="1"/>
    </xf>
    <xf numFmtId="0" fontId="0" fillId="0" borderId="0" xfId="0" applyFont="1" applyBorder="1" applyAlignment="1" applyProtection="1">
      <alignment vertical="center"/>
      <protection hidden="1"/>
    </xf>
    <xf numFmtId="0" fontId="4" fillId="0" borderId="24" xfId="0" applyFont="1" applyBorder="1" applyAlignment="1" applyProtection="1">
      <alignment/>
      <protection hidden="1"/>
    </xf>
    <xf numFmtId="44" fontId="1" fillId="0" borderId="0" xfId="46" applyFont="1" applyAlignment="1" applyProtection="1">
      <alignment horizontal="center"/>
      <protection hidden="1"/>
    </xf>
    <xf numFmtId="49" fontId="0" fillId="0" borderId="24" xfId="0" applyNumberFormat="1" applyFont="1" applyFill="1" applyBorder="1" applyAlignment="1" applyProtection="1">
      <alignment/>
      <protection hidden="1"/>
    </xf>
    <xf numFmtId="44" fontId="0" fillId="0" borderId="10" xfId="0" applyNumberFormat="1" applyFont="1" applyBorder="1" applyAlignment="1" applyProtection="1">
      <alignment horizontal="center"/>
      <protection hidden="1"/>
    </xf>
    <xf numFmtId="49" fontId="0" fillId="0" borderId="0" xfId="0" applyNumberFormat="1" applyFont="1" applyBorder="1" applyAlignment="1" applyProtection="1">
      <alignment/>
      <protection hidden="1"/>
    </xf>
    <xf numFmtId="167" fontId="1" fillId="0" borderId="10" xfId="67" applyNumberFormat="1" applyFont="1" applyFill="1" applyBorder="1" applyAlignment="1" applyProtection="1">
      <alignment/>
      <protection hidden="1"/>
    </xf>
    <xf numFmtId="0" fontId="0" fillId="0" borderId="10" xfId="0" applyFont="1" applyBorder="1" applyAlignment="1" applyProtection="1">
      <alignment horizontal="center" vertical="center" wrapText="1"/>
      <protection hidden="1"/>
    </xf>
    <xf numFmtId="0" fontId="1" fillId="0" borderId="0" xfId="0" applyFont="1" applyFill="1" applyBorder="1" applyAlignment="1" applyProtection="1">
      <alignment/>
      <protection hidden="1"/>
    </xf>
    <xf numFmtId="0" fontId="0" fillId="0" borderId="0" xfId="0" applyFont="1" applyFill="1" applyBorder="1" applyAlignment="1" applyProtection="1">
      <alignment/>
      <protection hidden="1"/>
    </xf>
    <xf numFmtId="0" fontId="66" fillId="0" borderId="0" xfId="0" applyFont="1" applyBorder="1" applyAlignment="1" applyProtection="1">
      <alignment horizontal="center"/>
      <protection hidden="1"/>
    </xf>
    <xf numFmtId="44" fontId="1" fillId="0" borderId="0" xfId="46" applyFont="1" applyAlignment="1" applyProtection="1">
      <alignment horizontal="left"/>
      <protection hidden="1"/>
    </xf>
    <xf numFmtId="166" fontId="0" fillId="14" borderId="26" xfId="46" applyNumberFormat="1" applyFont="1" applyFill="1" applyBorder="1" applyAlignment="1" applyProtection="1">
      <alignment/>
      <protection hidden="1"/>
    </xf>
    <xf numFmtId="0" fontId="0" fillId="14" borderId="27" xfId="0" applyFill="1" applyBorder="1" applyAlignment="1" applyProtection="1">
      <alignment/>
      <protection hidden="1"/>
    </xf>
    <xf numFmtId="0" fontId="0" fillId="14" borderId="28" xfId="0" applyFill="1" applyBorder="1" applyAlignment="1" applyProtection="1">
      <alignment/>
      <protection hidden="1"/>
    </xf>
    <xf numFmtId="44" fontId="0" fillId="0" borderId="10" xfId="0" applyNumberFormat="1" applyBorder="1" applyAlignment="1" applyProtection="1">
      <alignment/>
      <protection hidden="1"/>
    </xf>
    <xf numFmtId="9" fontId="0" fillId="14" borderId="0" xfId="0" applyNumberFormat="1" applyFont="1" applyFill="1" applyAlignment="1" applyProtection="1">
      <alignment/>
      <protection hidden="1"/>
    </xf>
    <xf numFmtId="9" fontId="0" fillId="14" borderId="0" xfId="67" applyFont="1" applyFill="1" applyAlignment="1" applyProtection="1">
      <alignment/>
      <protection hidden="1"/>
    </xf>
    <xf numFmtId="9" fontId="0" fillId="14" borderId="31" xfId="67" applyFont="1" applyFill="1" applyBorder="1" applyAlignment="1" applyProtection="1">
      <alignment/>
      <protection hidden="1"/>
    </xf>
    <xf numFmtId="0" fontId="1" fillId="0" borderId="15" xfId="0" applyFont="1" applyFill="1" applyBorder="1" applyAlignment="1" applyProtection="1">
      <alignment/>
      <protection hidden="1"/>
    </xf>
    <xf numFmtId="0" fontId="1" fillId="0" borderId="0" xfId="0" applyFont="1" applyBorder="1" applyAlignment="1" applyProtection="1">
      <alignment/>
      <protection hidden="1"/>
    </xf>
    <xf numFmtId="0" fontId="1" fillId="0" borderId="16" xfId="0" applyFont="1" applyBorder="1" applyAlignment="1" applyProtection="1">
      <alignment/>
      <protection hidden="1"/>
    </xf>
    <xf numFmtId="0" fontId="7" fillId="0" borderId="0" xfId="0" applyFont="1" applyAlignment="1" applyProtection="1">
      <alignment horizontal="center"/>
      <protection hidden="1"/>
    </xf>
    <xf numFmtId="0" fontId="0" fillId="0" borderId="15" xfId="0" applyFill="1" applyBorder="1" applyAlignment="1" applyProtection="1">
      <alignment/>
      <protection hidden="1"/>
    </xf>
    <xf numFmtId="9" fontId="0" fillId="0" borderId="16" xfId="0" applyNumberFormat="1" applyBorder="1" applyAlignment="1" applyProtection="1">
      <alignment/>
      <protection hidden="1"/>
    </xf>
    <xf numFmtId="0" fontId="0" fillId="0" borderId="15" xfId="0" applyFont="1" applyFill="1" applyBorder="1" applyAlignment="1" applyProtection="1">
      <alignment/>
      <protection hidden="1"/>
    </xf>
    <xf numFmtId="0" fontId="0" fillId="0" borderId="18" xfId="0" applyFont="1" applyFill="1" applyBorder="1" applyAlignment="1" applyProtection="1">
      <alignment/>
      <protection hidden="1"/>
    </xf>
    <xf numFmtId="0" fontId="0" fillId="0" borderId="19" xfId="0" applyBorder="1" applyAlignment="1" applyProtection="1">
      <alignment/>
      <protection hidden="1"/>
    </xf>
    <xf numFmtId="0" fontId="0" fillId="0" borderId="19" xfId="0" applyFont="1" applyBorder="1" applyAlignment="1" applyProtection="1">
      <alignment/>
      <protection hidden="1"/>
    </xf>
    <xf numFmtId="9" fontId="0" fillId="0" borderId="20" xfId="0" applyNumberFormat="1" applyBorder="1" applyAlignment="1" applyProtection="1">
      <alignment/>
      <protection hidden="1"/>
    </xf>
    <xf numFmtId="0" fontId="0" fillId="0" borderId="0" xfId="0" applyFont="1" applyBorder="1" applyAlignment="1" applyProtection="1">
      <alignment horizontal="center"/>
      <protection hidden="1"/>
    </xf>
    <xf numFmtId="0" fontId="64" fillId="0" borderId="0" xfId="0" applyFont="1" applyAlignment="1" applyProtection="1">
      <alignment horizontal="center"/>
      <protection hidden="1"/>
    </xf>
    <xf numFmtId="44" fontId="0" fillId="5" borderId="10" xfId="46" applyFont="1" applyFill="1" applyBorder="1" applyAlignment="1" applyProtection="1">
      <alignment/>
      <protection hidden="1" locked="0"/>
    </xf>
    <xf numFmtId="44" fontId="0" fillId="0" borderId="10" xfId="46" applyFont="1" applyFill="1" applyBorder="1" applyAlignment="1" applyProtection="1">
      <alignment/>
      <protection hidden="1" locked="0"/>
    </xf>
    <xf numFmtId="0" fontId="70" fillId="0" borderId="0" xfId="0" applyFont="1" applyAlignment="1" applyProtection="1">
      <alignment/>
      <protection hidden="1"/>
    </xf>
    <xf numFmtId="0" fontId="13" fillId="0" borderId="0" xfId="0" applyFont="1" applyAlignment="1" applyProtection="1">
      <alignment/>
      <protection hidden="1"/>
    </xf>
    <xf numFmtId="0" fontId="44" fillId="0" borderId="0" xfId="0" applyFont="1" applyAlignment="1" applyProtection="1">
      <alignment/>
      <protection hidden="1"/>
    </xf>
    <xf numFmtId="0" fontId="17" fillId="0" borderId="0" xfId="0" applyFont="1" applyAlignment="1" applyProtection="1">
      <alignment/>
      <protection hidden="1"/>
    </xf>
    <xf numFmtId="0" fontId="15" fillId="0" borderId="0" xfId="0" applyFont="1" applyAlignment="1" applyProtection="1">
      <alignment/>
      <protection hidden="1"/>
    </xf>
    <xf numFmtId="0" fontId="15" fillId="0" borderId="0" xfId="0" applyFont="1" applyFill="1" applyBorder="1" applyAlignment="1" applyProtection="1">
      <alignment/>
      <protection hidden="1"/>
    </xf>
    <xf numFmtId="0" fontId="20" fillId="0" borderId="0" xfId="0" applyFont="1" applyAlignment="1" applyProtection="1">
      <alignment/>
      <protection hidden="1"/>
    </xf>
    <xf numFmtId="0" fontId="15" fillId="0" borderId="0" xfId="0" applyFont="1" applyFill="1" applyAlignment="1" applyProtection="1">
      <alignment/>
      <protection hidden="1"/>
    </xf>
    <xf numFmtId="0" fontId="17" fillId="0" borderId="0" xfId="0" applyFont="1" applyFill="1" applyAlignment="1" applyProtection="1">
      <alignment/>
      <protection hidden="1"/>
    </xf>
    <xf numFmtId="0" fontId="16" fillId="0" borderId="0" xfId="0" applyFont="1" applyAlignment="1" applyProtection="1">
      <alignment/>
      <protection hidden="1"/>
    </xf>
    <xf numFmtId="0" fontId="20" fillId="0" borderId="0" xfId="0" applyFont="1" applyAlignment="1" applyProtection="1">
      <alignment/>
      <protection hidden="1"/>
    </xf>
    <xf numFmtId="0" fontId="13" fillId="0" borderId="0" xfId="0" applyFont="1" applyAlignment="1" applyProtection="1">
      <alignment/>
      <protection hidden="1"/>
    </xf>
    <xf numFmtId="0" fontId="20" fillId="0" borderId="0" xfId="0" applyFont="1" applyAlignment="1" applyProtection="1">
      <alignment vertical="center" wrapText="1"/>
      <protection hidden="1"/>
    </xf>
    <xf numFmtId="9" fontId="20" fillId="0" borderId="0" xfId="0" applyNumberFormat="1" applyFont="1" applyAlignment="1" applyProtection="1">
      <alignment vertical="center" wrapText="1"/>
      <protection hidden="1"/>
    </xf>
    <xf numFmtId="9" fontId="13" fillId="0" borderId="0" xfId="0" applyNumberFormat="1" applyFont="1" applyAlignment="1" applyProtection="1">
      <alignment/>
      <protection hidden="1"/>
    </xf>
    <xf numFmtId="0" fontId="45" fillId="0" borderId="0" xfId="0" applyFont="1" applyAlignment="1" applyProtection="1">
      <alignment/>
      <protection hidden="1"/>
    </xf>
    <xf numFmtId="0" fontId="15" fillId="0" borderId="0" xfId="0" applyFont="1" applyBorder="1" applyAlignment="1" applyProtection="1">
      <alignment horizontal="left"/>
      <protection hidden="1"/>
    </xf>
    <xf numFmtId="0" fontId="17" fillId="0" borderId="0" xfId="0" applyFont="1" applyAlignment="1" applyProtection="1">
      <alignment/>
      <protection hidden="1"/>
    </xf>
    <xf numFmtId="0" fontId="3" fillId="35" borderId="0" xfId="0" applyFont="1" applyFill="1" applyAlignment="1" applyProtection="1">
      <alignment/>
      <protection hidden="1"/>
    </xf>
    <xf numFmtId="0" fontId="14" fillId="35" borderId="0" xfId="0" applyFont="1" applyFill="1" applyAlignment="1" applyProtection="1">
      <alignment/>
      <protection hidden="1"/>
    </xf>
    <xf numFmtId="166" fontId="68" fillId="38" borderId="21" xfId="48" applyNumberFormat="1" applyFont="1" applyFill="1" applyBorder="1" applyAlignment="1" applyProtection="1">
      <alignment/>
      <protection/>
    </xf>
    <xf numFmtId="0" fontId="7" fillId="38" borderId="22" xfId="0" applyFont="1" applyFill="1" applyBorder="1" applyAlignment="1">
      <alignment horizontal="center"/>
    </xf>
    <xf numFmtId="0" fontId="7" fillId="38" borderId="22" xfId="0" applyFont="1" applyFill="1" applyBorder="1" applyAlignment="1">
      <alignment/>
    </xf>
    <xf numFmtId="0" fontId="68" fillId="38" borderId="22" xfId="0" applyFont="1" applyFill="1" applyBorder="1" applyAlignment="1">
      <alignment/>
    </xf>
    <xf numFmtId="0" fontId="7" fillId="38" borderId="23" xfId="0" applyFont="1" applyFill="1" applyBorder="1" applyAlignment="1">
      <alignment/>
    </xf>
    <xf numFmtId="44" fontId="66" fillId="35" borderId="24" xfId="48" applyFont="1" applyFill="1" applyBorder="1" applyAlignment="1">
      <alignment horizontal="right" vertical="center"/>
    </xf>
    <xf numFmtId="44" fontId="0" fillId="35" borderId="0" xfId="48" applyFont="1" applyFill="1" applyBorder="1" applyAlignment="1" applyProtection="1">
      <alignment horizontal="right" vertical="center"/>
      <protection/>
    </xf>
    <xf numFmtId="44" fontId="0" fillId="35" borderId="0" xfId="48" applyFont="1" applyFill="1" applyBorder="1" applyAlignment="1">
      <alignment horizontal="right" vertical="center"/>
    </xf>
    <xf numFmtId="44" fontId="66" fillId="35" borderId="0" xfId="48" applyFont="1" applyFill="1" applyBorder="1" applyAlignment="1">
      <alignment horizontal="right" vertical="center"/>
    </xf>
    <xf numFmtId="44" fontId="0" fillId="35" borderId="25" xfId="48" applyFont="1" applyFill="1" applyBorder="1" applyAlignment="1">
      <alignment horizontal="right" vertical="center"/>
    </xf>
    <xf numFmtId="0" fontId="68" fillId="38" borderId="26" xfId="0" applyFont="1" applyFill="1" applyBorder="1" applyAlignment="1">
      <alignment/>
    </xf>
    <xf numFmtId="0" fontId="7" fillId="38" borderId="27" xfId="0" applyFont="1" applyFill="1" applyBorder="1" applyAlignment="1">
      <alignment/>
    </xf>
    <xf numFmtId="0" fontId="0" fillId="38" borderId="27" xfId="0" applyFill="1" applyBorder="1" applyAlignment="1">
      <alignment/>
    </xf>
    <xf numFmtId="0" fontId="66" fillId="38" borderId="27" xfId="0" applyFont="1" applyFill="1" applyBorder="1" applyAlignment="1">
      <alignment/>
    </xf>
    <xf numFmtId="0" fontId="0" fillId="38" borderId="28" xfId="0" applyFill="1" applyBorder="1" applyAlignment="1">
      <alignment/>
    </xf>
    <xf numFmtId="44" fontId="0" fillId="35" borderId="32" xfId="48" applyFont="1" applyFill="1" applyBorder="1" applyAlignment="1" applyProtection="1">
      <alignment horizontal="right" vertical="center"/>
      <protection/>
    </xf>
    <xf numFmtId="44" fontId="0" fillId="35" borderId="33" xfId="48" applyFont="1" applyFill="1" applyBorder="1" applyAlignment="1" applyProtection="1">
      <alignment horizontal="right" vertical="center"/>
      <protection/>
    </xf>
    <xf numFmtId="44" fontId="0" fillId="35" borderId="30" xfId="48" applyFont="1" applyFill="1" applyBorder="1" applyAlignment="1" applyProtection="1">
      <alignment horizontal="right" vertical="center"/>
      <protection/>
    </xf>
    <xf numFmtId="44" fontId="0" fillId="35" borderId="32" xfId="0" applyNumberFormat="1" applyFont="1" applyFill="1" applyBorder="1" applyAlignment="1">
      <alignment/>
    </xf>
    <xf numFmtId="44" fontId="0" fillId="35" borderId="33" xfId="0" applyNumberFormat="1" applyFont="1" applyFill="1" applyBorder="1" applyAlignment="1">
      <alignment/>
    </xf>
    <xf numFmtId="44" fontId="0" fillId="35" borderId="30" xfId="0" applyNumberFormat="1" applyFont="1" applyFill="1" applyBorder="1" applyAlignment="1">
      <alignment/>
    </xf>
    <xf numFmtId="0" fontId="0" fillId="0" borderId="0"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66" fillId="0" borderId="0" xfId="0" applyFont="1" applyAlignment="1" applyProtection="1">
      <alignment/>
      <protection hidden="1"/>
    </xf>
    <xf numFmtId="44" fontId="0" fillId="0" borderId="10" xfId="46" applyFont="1" applyFill="1" applyBorder="1" applyAlignment="1" applyProtection="1">
      <alignment/>
      <protection hidden="1"/>
    </xf>
    <xf numFmtId="0" fontId="1" fillId="0" borderId="17" xfId="63" applyFont="1" applyBorder="1" applyAlignment="1" applyProtection="1">
      <alignment horizontal="center"/>
      <protection hidden="1"/>
    </xf>
    <xf numFmtId="0" fontId="1" fillId="0" borderId="29" xfId="63" applyFont="1" applyBorder="1" applyAlignment="1" applyProtection="1">
      <alignment horizontal="center"/>
      <protection hidden="1"/>
    </xf>
    <xf numFmtId="0" fontId="1" fillId="0" borderId="11" xfId="63" applyFont="1" applyBorder="1" applyAlignment="1" applyProtection="1">
      <alignment horizontal="center"/>
      <protection hidden="1"/>
    </xf>
    <xf numFmtId="186" fontId="0" fillId="33" borderId="17" xfId="48" applyNumberFormat="1" applyFont="1" applyFill="1" applyBorder="1" applyAlignment="1" applyProtection="1">
      <alignment horizontal="center"/>
      <protection locked="0"/>
    </xf>
    <xf numFmtId="186" fontId="0" fillId="33" borderId="29" xfId="48" applyNumberFormat="1" applyFont="1" applyFill="1" applyBorder="1" applyAlignment="1" applyProtection="1">
      <alignment horizontal="center"/>
      <protection locked="0"/>
    </xf>
    <xf numFmtId="186" fontId="0" fillId="33" borderId="11" xfId="48" applyNumberFormat="1" applyFont="1" applyFill="1" applyBorder="1" applyAlignment="1" applyProtection="1">
      <alignment horizontal="center"/>
      <protection locked="0"/>
    </xf>
    <xf numFmtId="0" fontId="1" fillId="0" borderId="0" xfId="63" applyFont="1" applyAlignment="1" applyProtection="1">
      <alignment horizontal="center"/>
      <protection hidden="1"/>
    </xf>
    <xf numFmtId="0" fontId="0" fillId="34" borderId="17" xfId="63" applyFill="1" applyBorder="1" applyAlignment="1" applyProtection="1">
      <alignment horizontal="center"/>
      <protection locked="0"/>
    </xf>
    <xf numFmtId="0" fontId="0" fillId="34" borderId="11" xfId="63" applyFill="1" applyBorder="1" applyAlignment="1" applyProtection="1">
      <alignment horizontal="center"/>
      <protection locked="0"/>
    </xf>
    <xf numFmtId="0" fontId="1" fillId="0" borderId="17" xfId="0" applyFont="1" applyBorder="1" applyAlignment="1" applyProtection="1">
      <alignment horizontal="center"/>
      <protection hidden="1"/>
    </xf>
    <xf numFmtId="0" fontId="1" fillId="0" borderId="29" xfId="0" applyFont="1" applyBorder="1" applyAlignment="1" applyProtection="1">
      <alignment horizontal="center"/>
      <protection hidden="1"/>
    </xf>
    <xf numFmtId="0" fontId="1" fillId="0" borderId="11" xfId="0" applyFont="1" applyBorder="1" applyAlignment="1" applyProtection="1">
      <alignment horizontal="center"/>
      <protection hidden="1"/>
    </xf>
    <xf numFmtId="186" fontId="0" fillId="33" borderId="17" xfId="46" applyNumberFormat="1" applyFont="1" applyFill="1" applyBorder="1" applyAlignment="1" applyProtection="1">
      <alignment horizontal="center"/>
      <protection locked="0"/>
    </xf>
    <xf numFmtId="186" fontId="0" fillId="33" borderId="29" xfId="46" applyNumberFormat="1" applyFont="1" applyFill="1" applyBorder="1" applyAlignment="1" applyProtection="1">
      <alignment horizontal="center"/>
      <protection locked="0"/>
    </xf>
    <xf numFmtId="186" fontId="0" fillId="33" borderId="11" xfId="46" applyNumberFormat="1" applyFont="1" applyFill="1" applyBorder="1" applyAlignment="1" applyProtection="1">
      <alignment horizontal="center"/>
      <protection locked="0"/>
    </xf>
    <xf numFmtId="0" fontId="0" fillId="14" borderId="21" xfId="63" applyFill="1" applyBorder="1" applyAlignment="1" applyProtection="1">
      <alignment horizontal="center" vertical="top" wrapText="1"/>
      <protection hidden="1"/>
    </xf>
    <xf numFmtId="0" fontId="0" fillId="14" borderId="23" xfId="63" applyFill="1" applyBorder="1" applyAlignment="1" applyProtection="1">
      <alignment horizontal="center" vertical="top" wrapText="1"/>
      <protection hidden="1"/>
    </xf>
    <xf numFmtId="0" fontId="0" fillId="14" borderId="24" xfId="63" applyFill="1" applyBorder="1" applyAlignment="1" applyProtection="1">
      <alignment horizontal="center" vertical="top" wrapText="1"/>
      <protection hidden="1"/>
    </xf>
    <xf numFmtId="0" fontId="0" fillId="14" borderId="25" xfId="63" applyFill="1" applyBorder="1" applyAlignment="1" applyProtection="1">
      <alignment horizontal="center" vertical="top" wrapText="1"/>
      <protection hidden="1"/>
    </xf>
    <xf numFmtId="0" fontId="0" fillId="14" borderId="26" xfId="63" applyFill="1" applyBorder="1" applyAlignment="1" applyProtection="1">
      <alignment horizontal="center" vertical="top" wrapText="1"/>
      <protection hidden="1"/>
    </xf>
    <xf numFmtId="0" fontId="0" fillId="14" borderId="28" xfId="63" applyFill="1" applyBorder="1" applyAlignment="1" applyProtection="1">
      <alignment horizontal="center" vertical="top" wrapText="1"/>
      <protection hidden="1"/>
    </xf>
    <xf numFmtId="0" fontId="0" fillId="14" borderId="10" xfId="63" applyFill="1" applyBorder="1" applyAlignment="1" applyProtection="1">
      <alignment horizontal="center" vertical="center" wrapText="1"/>
      <protection hidden="1"/>
    </xf>
    <xf numFmtId="0" fontId="0" fillId="0" borderId="32" xfId="63" applyBorder="1" applyAlignment="1" applyProtection="1">
      <alignment horizontal="center" wrapText="1"/>
      <protection hidden="1"/>
    </xf>
    <xf numFmtId="0" fontId="0" fillId="0" borderId="30" xfId="63" applyBorder="1" applyAlignment="1" applyProtection="1">
      <alignment horizontal="center" wrapText="1"/>
      <protection hidden="1"/>
    </xf>
    <xf numFmtId="0" fontId="0" fillId="0" borderId="0" xfId="63" applyAlignment="1" applyProtection="1">
      <alignment horizontal="center"/>
      <protection hidden="1"/>
    </xf>
    <xf numFmtId="0" fontId="1" fillId="0" borderId="10" xfId="63" applyFont="1" applyBorder="1" applyAlignment="1" applyProtection="1">
      <alignment horizontal="center" vertical="center"/>
      <protection hidden="1"/>
    </xf>
    <xf numFmtId="44" fontId="19" fillId="14" borderId="0" xfId="48" applyFont="1" applyFill="1" applyBorder="1" applyAlignment="1" applyProtection="1">
      <alignment horizontal="center"/>
      <protection hidden="1"/>
    </xf>
    <xf numFmtId="44" fontId="1" fillId="14" borderId="0" xfId="48" applyFont="1" applyFill="1" applyBorder="1" applyAlignment="1" applyProtection="1">
      <alignment horizontal="center"/>
      <protection hidden="1"/>
    </xf>
    <xf numFmtId="0" fontId="3" fillId="0" borderId="12" xfId="0" applyFont="1" applyFill="1" applyBorder="1" applyAlignment="1" applyProtection="1">
      <alignment horizontal="center"/>
      <protection hidden="1"/>
    </xf>
    <xf numFmtId="0" fontId="3" fillId="0" borderId="13" xfId="0" applyFont="1" applyFill="1" applyBorder="1" applyAlignment="1" applyProtection="1">
      <alignment horizontal="center"/>
      <protection hidden="1"/>
    </xf>
    <xf numFmtId="0" fontId="3" fillId="0" borderId="14" xfId="0" applyFont="1" applyFill="1" applyBorder="1" applyAlignment="1" applyProtection="1">
      <alignment horizontal="center"/>
      <protection hidden="1"/>
    </xf>
    <xf numFmtId="0" fontId="0" fillId="33" borderId="17" xfId="42" applyNumberFormat="1" applyFont="1" applyFill="1" applyBorder="1" applyAlignment="1" applyProtection="1">
      <alignment horizontal="center"/>
      <protection locked="0"/>
    </xf>
    <xf numFmtId="0" fontId="0" fillId="33" borderId="11" xfId="42" applyNumberFormat="1" applyFont="1" applyFill="1" applyBorder="1" applyAlignment="1" applyProtection="1">
      <alignment horizontal="center"/>
      <protection locked="0"/>
    </xf>
    <xf numFmtId="0" fontId="1" fillId="0" borderId="21" xfId="0" applyFont="1" applyBorder="1" applyAlignment="1" applyProtection="1">
      <alignment horizontal="center" vertical="center" wrapText="1"/>
      <protection hidden="1"/>
    </xf>
    <xf numFmtId="0" fontId="1" fillId="0" borderId="22" xfId="0" applyFont="1" applyBorder="1" applyAlignment="1" applyProtection="1">
      <alignment horizontal="center" vertical="center" wrapText="1"/>
      <protection hidden="1"/>
    </xf>
    <xf numFmtId="0" fontId="1" fillId="0" borderId="23" xfId="0" applyFont="1" applyBorder="1" applyAlignment="1" applyProtection="1">
      <alignment horizontal="center" vertical="center" wrapText="1"/>
      <protection hidden="1"/>
    </xf>
    <xf numFmtId="0" fontId="1" fillId="0" borderId="26"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1" fillId="0" borderId="10" xfId="0" applyFont="1" applyBorder="1" applyAlignment="1" applyProtection="1">
      <alignment horizontal="center" wrapText="1"/>
      <protection hidden="1"/>
    </xf>
    <xf numFmtId="0" fontId="0" fillId="14" borderId="27" xfId="0" applyFont="1" applyFill="1" applyBorder="1" applyAlignment="1" applyProtection="1">
      <alignment horizontal="center"/>
      <protection hidden="1"/>
    </xf>
    <xf numFmtId="0" fontId="0" fillId="34" borderId="10" xfId="0" applyFont="1" applyFill="1" applyBorder="1" applyAlignment="1" applyProtection="1">
      <alignment horizontal="center" vertical="center"/>
      <protection hidden="1"/>
    </xf>
    <xf numFmtId="0" fontId="0" fillId="5" borderId="10" xfId="0" applyFont="1" applyFill="1" applyBorder="1" applyAlignment="1" applyProtection="1">
      <alignment horizontal="center" vertical="center" wrapText="1"/>
      <protection hidden="1"/>
    </xf>
    <xf numFmtId="0" fontId="0" fillId="34" borderId="21" xfId="0" applyFont="1" applyFill="1" applyBorder="1" applyAlignment="1" applyProtection="1">
      <alignment horizontal="center" vertical="top" wrapText="1"/>
      <protection locked="0"/>
    </xf>
    <xf numFmtId="0" fontId="0" fillId="34" borderId="22" xfId="0" applyFill="1" applyBorder="1" applyAlignment="1" applyProtection="1">
      <alignment horizontal="center" vertical="top" wrapText="1"/>
      <protection locked="0"/>
    </xf>
    <xf numFmtId="0" fontId="0" fillId="34" borderId="23" xfId="0" applyFill="1" applyBorder="1" applyAlignment="1" applyProtection="1">
      <alignment horizontal="center" vertical="top" wrapText="1"/>
      <protection locked="0"/>
    </xf>
    <xf numFmtId="0" fontId="0" fillId="34" borderId="24" xfId="0" applyFill="1" applyBorder="1" applyAlignment="1" applyProtection="1">
      <alignment horizontal="center" vertical="top" wrapText="1"/>
      <protection locked="0"/>
    </xf>
    <xf numFmtId="0" fontId="0" fillId="34" borderId="0" xfId="0" applyFill="1" applyBorder="1" applyAlignment="1" applyProtection="1">
      <alignment horizontal="center" vertical="top" wrapText="1"/>
      <protection locked="0"/>
    </xf>
    <xf numFmtId="0" fontId="0" fillId="34" borderId="25" xfId="0" applyFill="1" applyBorder="1" applyAlignment="1" applyProtection="1">
      <alignment horizontal="center" vertical="top" wrapText="1"/>
      <protection locked="0"/>
    </xf>
    <xf numFmtId="0" fontId="0" fillId="34" borderId="26" xfId="0" applyFill="1" applyBorder="1" applyAlignment="1" applyProtection="1">
      <alignment horizontal="center" vertical="top" wrapText="1"/>
      <protection locked="0"/>
    </xf>
    <xf numFmtId="0" fontId="0" fillId="34" borderId="27" xfId="0" applyFill="1" applyBorder="1" applyAlignment="1" applyProtection="1">
      <alignment horizontal="center" vertical="top" wrapText="1"/>
      <protection locked="0"/>
    </xf>
    <xf numFmtId="0" fontId="0" fillId="34" borderId="28" xfId="0" applyFill="1" applyBorder="1" applyAlignment="1" applyProtection="1">
      <alignment horizontal="center" vertical="top" wrapText="1"/>
      <protection locked="0"/>
    </xf>
    <xf numFmtId="0" fontId="3" fillId="14" borderId="21" xfId="0" applyFont="1" applyFill="1" applyBorder="1" applyAlignment="1" applyProtection="1">
      <alignment horizontal="center"/>
      <protection hidden="1"/>
    </xf>
    <xf numFmtId="0" fontId="3" fillId="14" borderId="23" xfId="0" applyFont="1" applyFill="1" applyBorder="1" applyAlignment="1" applyProtection="1">
      <alignment horizontal="center"/>
      <protection hidden="1"/>
    </xf>
    <xf numFmtId="0" fontId="1" fillId="0" borderId="10" xfId="0" applyFont="1" applyFill="1" applyBorder="1" applyAlignment="1" applyProtection="1">
      <alignment horizontal="center"/>
      <protection hidden="1"/>
    </xf>
    <xf numFmtId="0" fontId="1" fillId="0" borderId="17" xfId="0" applyFont="1" applyBorder="1" applyAlignment="1" applyProtection="1">
      <alignment horizontal="center" vertical="center"/>
      <protection hidden="1"/>
    </xf>
    <xf numFmtId="0" fontId="1" fillId="0" borderId="29"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0" fillId="2" borderId="10" xfId="0" applyFill="1" applyBorder="1" applyAlignment="1" applyProtection="1">
      <alignment horizontal="center"/>
      <protection hidden="1"/>
    </xf>
    <xf numFmtId="0" fontId="0" fillId="39" borderId="10" xfId="0" applyFont="1" applyFill="1" applyBorder="1" applyAlignment="1" applyProtection="1">
      <alignment horizontal="center"/>
      <protection hidden="1"/>
    </xf>
    <xf numFmtId="0" fontId="0" fillId="5" borderId="10" xfId="0" applyFont="1" applyFill="1" applyBorder="1" applyAlignment="1" applyProtection="1">
      <alignment horizontal="center"/>
      <protection hidden="1"/>
    </xf>
    <xf numFmtId="0" fontId="69" fillId="0" borderId="17" xfId="0" applyFont="1" applyBorder="1" applyAlignment="1" applyProtection="1">
      <alignment horizontal="center" vertical="center"/>
      <protection hidden="1"/>
    </xf>
    <xf numFmtId="0" fontId="69" fillId="0" borderId="11" xfId="0" applyFont="1" applyBorder="1" applyAlignment="1" applyProtection="1">
      <alignment horizontal="center" vertical="center"/>
      <protection hidden="1"/>
    </xf>
    <xf numFmtId="0" fontId="0" fillId="32" borderId="10" xfId="0" applyFont="1" applyFill="1" applyBorder="1" applyAlignment="1" applyProtection="1">
      <alignment horizontal="center"/>
      <protection hidden="1"/>
    </xf>
    <xf numFmtId="0" fontId="3" fillId="0" borderId="0" xfId="0" applyFont="1" applyAlignment="1" applyProtection="1">
      <alignment horizontal="center"/>
      <protection hidden="1"/>
    </xf>
    <xf numFmtId="0" fontId="0" fillId="0" borderId="17" xfId="0" applyBorder="1" applyAlignment="1" applyProtection="1">
      <alignment horizontal="center"/>
      <protection hidden="1"/>
    </xf>
    <xf numFmtId="0" fontId="0" fillId="0" borderId="11" xfId="0" applyBorder="1" applyAlignment="1" applyProtection="1">
      <alignment horizontal="center"/>
      <protection hidden="1"/>
    </xf>
    <xf numFmtId="0" fontId="0" fillId="14" borderId="0" xfId="0" applyFill="1" applyBorder="1" applyAlignment="1" applyProtection="1">
      <alignment horizontal="center"/>
      <protection hidden="1"/>
    </xf>
    <xf numFmtId="0" fontId="0" fillId="0" borderId="21" xfId="0" applyBorder="1" applyAlignment="1" applyProtection="1">
      <alignment horizontal="center" wrapText="1"/>
      <protection hidden="1"/>
    </xf>
    <xf numFmtId="0" fontId="0" fillId="0" borderId="22" xfId="0" applyBorder="1" applyAlignment="1" applyProtection="1">
      <alignment horizontal="center" wrapText="1"/>
      <protection hidden="1"/>
    </xf>
    <xf numFmtId="0" fontId="0" fillId="0" borderId="23" xfId="0" applyBorder="1" applyAlignment="1" applyProtection="1">
      <alignment horizontal="center" wrapText="1"/>
      <protection hidden="1"/>
    </xf>
    <xf numFmtId="0" fontId="0" fillId="0" borderId="26" xfId="0" applyBorder="1" applyAlignment="1" applyProtection="1">
      <alignment horizontal="center" wrapText="1"/>
      <protection hidden="1"/>
    </xf>
    <xf numFmtId="0" fontId="0" fillId="0" borderId="27" xfId="0" applyBorder="1" applyAlignment="1" applyProtection="1">
      <alignment horizontal="center" wrapText="1"/>
      <protection hidden="1"/>
    </xf>
    <xf numFmtId="0" fontId="0" fillId="0" borderId="28" xfId="0" applyBorder="1" applyAlignment="1" applyProtection="1">
      <alignment horizontal="center" wrapText="1"/>
      <protection hidden="1"/>
    </xf>
    <xf numFmtId="0" fontId="0" fillId="6" borderId="17" xfId="0" applyFill="1" applyBorder="1" applyAlignment="1" applyProtection="1">
      <alignment horizontal="center"/>
      <protection hidden="1"/>
    </xf>
    <xf numFmtId="0" fontId="0" fillId="6" borderId="11" xfId="0" applyFill="1" applyBorder="1" applyAlignment="1" applyProtection="1">
      <alignment horizontal="center"/>
      <protection hidden="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4" xfId="63"/>
    <cellStyle name="Normal_Sheet1" xfId="64"/>
    <cellStyle name="Note" xfId="65"/>
    <cellStyle name="Output" xfId="66"/>
    <cellStyle name="Percent" xfId="67"/>
    <cellStyle name="Percent 2" xfId="68"/>
    <cellStyle name="Title" xfId="69"/>
    <cellStyle name="Total" xfId="70"/>
    <cellStyle name="Warning Text" xfId="71"/>
  </cellStyles>
  <dxfs count="33">
    <dxf>
      <fill>
        <patternFill>
          <bgColor theme="5" tint="0.7999799847602844"/>
        </patternFill>
      </fill>
    </dxf>
    <dxf>
      <fill>
        <patternFill>
          <bgColor theme="5" tint="0.7999799847602844"/>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FF0000"/>
      </font>
    </dxf>
    <dxf>
      <fill>
        <patternFill>
          <bgColor rgb="FF92D050"/>
        </patternFill>
      </fill>
    </dxf>
    <dxf>
      <fill>
        <patternFill>
          <bgColor theme="5" tint="0.5999600291252136"/>
        </patternFill>
      </fill>
    </dxf>
    <dxf>
      <fill>
        <patternFill>
          <bgColor rgb="FF92D050"/>
        </patternFill>
      </fill>
    </dxf>
    <dxf>
      <fill>
        <patternFill>
          <bgColor theme="5" tint="0.5999600291252136"/>
        </patternFill>
      </fill>
    </dxf>
    <dxf>
      <fill>
        <patternFill>
          <bgColor rgb="FF92D050"/>
        </patternFill>
      </fill>
    </dxf>
    <dxf>
      <fill>
        <patternFill>
          <bgColor theme="5" tint="0.5999600291252136"/>
        </patternFill>
      </fill>
    </dxf>
    <dxf>
      <fill>
        <patternFill>
          <bgColor rgb="FF92D050"/>
        </patternFill>
      </fill>
    </dxf>
    <dxf>
      <fill>
        <patternFill>
          <bgColor theme="5" tint="0.5999600291252136"/>
        </patternFill>
      </fill>
    </dxf>
    <dxf>
      <fill>
        <patternFill>
          <bgColor rgb="FF92D050"/>
        </patternFill>
      </fill>
    </dxf>
    <dxf>
      <fill>
        <patternFill>
          <bgColor theme="5" tint="0.5999600291252136"/>
        </patternFill>
      </fill>
    </dxf>
    <dxf>
      <fill>
        <patternFill>
          <bgColor rgb="FF92D050"/>
        </patternFill>
      </fill>
    </dxf>
    <dxf>
      <fill>
        <patternFill>
          <bgColor theme="5" tint="0.5999600291252136"/>
        </patternFill>
      </fill>
    </dxf>
    <dxf>
      <fill>
        <patternFill>
          <bgColor rgb="FF92D050"/>
        </patternFill>
      </fill>
    </dxf>
    <dxf>
      <fill>
        <patternFill>
          <bgColor theme="5" tint="0.5999600291252136"/>
        </patternFill>
      </fill>
    </dxf>
    <dxf>
      <fill>
        <patternFill>
          <bgColor rgb="FF92D050"/>
        </patternFill>
      </fill>
    </dxf>
    <dxf>
      <fill>
        <patternFill>
          <bgColor theme="5"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8</xdr:col>
      <xdr:colOff>190500</xdr:colOff>
      <xdr:row>4</xdr:row>
      <xdr:rowOff>85725</xdr:rowOff>
    </xdr:to>
    <xdr:pic>
      <xdr:nvPicPr>
        <xdr:cNvPr id="1" name="Picture 2"/>
        <xdr:cNvPicPr preferRelativeResize="1">
          <a:picLocks noChangeAspect="1"/>
        </xdr:cNvPicPr>
      </xdr:nvPicPr>
      <xdr:blipFill>
        <a:blip r:embed="rId1"/>
        <a:stretch>
          <a:fillRect/>
        </a:stretch>
      </xdr:blipFill>
      <xdr:spPr>
        <a:xfrm>
          <a:off x="6257925" y="161925"/>
          <a:ext cx="22764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638175</xdr:colOff>
      <xdr:row>3</xdr:row>
      <xdr:rowOff>47625</xdr:rowOff>
    </xdr:from>
    <xdr:to>
      <xdr:col>9</xdr:col>
      <xdr:colOff>704850</xdr:colOff>
      <xdr:row>6</xdr:row>
      <xdr:rowOff>104775</xdr:rowOff>
    </xdr:to>
    <xdr:pic>
      <xdr:nvPicPr>
        <xdr:cNvPr id="1" name="Picture 2"/>
        <xdr:cNvPicPr preferRelativeResize="1">
          <a:picLocks noChangeAspect="1"/>
        </xdr:cNvPicPr>
      </xdr:nvPicPr>
      <xdr:blipFill>
        <a:blip r:embed="rId1"/>
        <a:stretch>
          <a:fillRect/>
        </a:stretch>
      </xdr:blipFill>
      <xdr:spPr>
        <a:xfrm>
          <a:off x="7153275" y="533400"/>
          <a:ext cx="22098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AV136"/>
  <sheetViews>
    <sheetView showGridLines="0" tabSelected="1" zoomScale="85" zoomScaleNormal="85" zoomScalePageLayoutView="0" workbookViewId="0" topLeftCell="A1">
      <selection activeCell="I26" sqref="I26"/>
    </sheetView>
  </sheetViews>
  <sheetFormatPr defaultColWidth="9.140625" defaultRowHeight="12.75"/>
  <cols>
    <col min="1" max="1" width="52.140625" style="29" customWidth="1"/>
    <col min="2" max="2" width="9.140625" style="36" customWidth="1"/>
    <col min="3" max="3" width="7.140625" style="29" customWidth="1"/>
    <col min="4" max="4" width="14.28125" style="29" bestFit="1" customWidth="1"/>
    <col min="5" max="5" width="11.140625" style="29" customWidth="1"/>
    <col min="6" max="6" width="5.57421875" style="29" customWidth="1"/>
    <col min="7" max="7" width="14.28125" style="29" customWidth="1"/>
    <col min="8" max="8" width="11.421875" style="29" customWidth="1"/>
    <col min="9" max="9" width="5.8515625" style="29" customWidth="1"/>
    <col min="10" max="11" width="9.140625" style="30" hidden="1" customWidth="1"/>
    <col min="12" max="13" width="9.140625" style="31" hidden="1" customWidth="1"/>
    <col min="14" max="14" width="42.140625" style="31" hidden="1" customWidth="1"/>
    <col min="15" max="15" width="17.28125" style="31" hidden="1" customWidth="1"/>
    <col min="16" max="16" width="13.00390625" style="31" hidden="1" customWidth="1"/>
    <col min="17" max="17" width="14.28125" style="31" hidden="1" customWidth="1"/>
    <col min="18" max="18" width="12.57421875" style="31" hidden="1" customWidth="1"/>
    <col min="19" max="19" width="12.8515625" style="31" hidden="1" customWidth="1"/>
    <col min="20" max="20" width="11.57421875" style="31" hidden="1" customWidth="1"/>
    <col min="21" max="21" width="11.57421875" style="29" hidden="1" customWidth="1"/>
    <col min="22" max="23" width="9.140625" style="29" hidden="1" customWidth="1"/>
    <col min="24" max="24" width="30.57421875" style="29" hidden="1" customWidth="1"/>
    <col min="25" max="25" width="10.57421875" style="29" hidden="1" customWidth="1"/>
    <col min="26" max="26" width="9.140625" style="29" hidden="1" customWidth="1"/>
    <col min="27" max="27" width="12.8515625" style="29" hidden="1" customWidth="1"/>
    <col min="28" max="28" width="9.140625" style="29" hidden="1" customWidth="1"/>
    <col min="29" max="29" width="30.57421875" style="29" hidden="1" customWidth="1"/>
    <col min="30" max="30" width="10.57421875" style="29" hidden="1" customWidth="1"/>
    <col min="31" max="31" width="9.140625" style="29" hidden="1" customWidth="1"/>
    <col min="32" max="32" width="13.28125" style="29" hidden="1" customWidth="1"/>
    <col min="33" max="33" width="5.28125" style="29" customWidth="1"/>
    <col min="34" max="16384" width="9.140625" style="29" customWidth="1"/>
  </cols>
  <sheetData>
    <row r="1" ht="12.75"/>
    <row r="2" spans="1:3" ht="12.75">
      <c r="A2" s="378" t="s">
        <v>217</v>
      </c>
      <c r="B2" s="379"/>
      <c r="C2" s="380"/>
    </row>
    <row r="3" spans="1:3" ht="12.75">
      <c r="A3" s="381"/>
      <c r="B3" s="382"/>
      <c r="C3" s="383"/>
    </row>
    <row r="4" ht="12.75"/>
    <row r="5" spans="1:4" ht="12.75">
      <c r="A5" s="387" t="s">
        <v>434</v>
      </c>
      <c r="B5" s="388"/>
      <c r="C5" s="389"/>
      <c r="D5" s="32" t="s">
        <v>25</v>
      </c>
    </row>
    <row r="6" spans="1:6" ht="12.75">
      <c r="A6" s="390"/>
      <c r="B6" s="391"/>
      <c r="C6" s="392"/>
      <c r="D6" s="21"/>
      <c r="F6" s="33" t="s">
        <v>422</v>
      </c>
    </row>
    <row r="7" spans="2:14" ht="12.75">
      <c r="B7" s="29"/>
      <c r="N7" s="34" t="s">
        <v>140</v>
      </c>
    </row>
    <row r="8" spans="1:14" ht="12.75">
      <c r="A8" s="35" t="s">
        <v>463</v>
      </c>
      <c r="B8" s="29"/>
      <c r="N8" s="34" t="s">
        <v>141</v>
      </c>
    </row>
    <row r="9" spans="9:29" ht="12.75" customHeight="1">
      <c r="I9" s="37"/>
      <c r="N9" s="31" t="s">
        <v>393</v>
      </c>
      <c r="AC9" s="29" t="s">
        <v>32</v>
      </c>
    </row>
    <row r="10" ht="12.75">
      <c r="B10" s="29"/>
    </row>
    <row r="11" spans="1:11" ht="12.75">
      <c r="A11" s="33" t="s">
        <v>400</v>
      </c>
      <c r="D11" s="384" t="s">
        <v>0</v>
      </c>
      <c r="E11" s="384"/>
      <c r="G11" s="384" t="s">
        <v>1</v>
      </c>
      <c r="H11" s="384"/>
      <c r="K11" s="30" t="s">
        <v>32</v>
      </c>
    </row>
    <row r="12" spans="12:17" ht="12.75">
      <c r="L12" s="30"/>
      <c r="M12" s="30"/>
      <c r="N12" s="30"/>
      <c r="Q12" s="31" t="s">
        <v>32</v>
      </c>
    </row>
    <row r="13" spans="1:14" ht="12.75">
      <c r="A13" s="29" t="s">
        <v>423</v>
      </c>
      <c r="D13" s="385" t="s">
        <v>141</v>
      </c>
      <c r="E13" s="386"/>
      <c r="G13" s="385" t="s">
        <v>141</v>
      </c>
      <c r="H13" s="386"/>
      <c r="N13" s="38" t="s">
        <v>322</v>
      </c>
    </row>
    <row r="14" ht="13.5" customHeight="1" thickBot="1"/>
    <row r="15" spans="1:19" ht="12.75" customHeight="1">
      <c r="A15" s="400" t="s">
        <v>401</v>
      </c>
      <c r="D15" s="378" t="s">
        <v>402</v>
      </c>
      <c r="E15" s="379"/>
      <c r="F15" s="379"/>
      <c r="G15" s="379"/>
      <c r="H15" s="380"/>
      <c r="N15" s="39"/>
      <c r="O15" s="40" t="s">
        <v>14</v>
      </c>
      <c r="P15" s="41"/>
      <c r="Q15" s="42" t="s">
        <v>46</v>
      </c>
      <c r="S15" s="30" t="s">
        <v>14</v>
      </c>
    </row>
    <row r="16" spans="1:19" ht="12.75">
      <c r="A16" s="401"/>
      <c r="C16" s="36"/>
      <c r="I16" s="36"/>
      <c r="N16" s="43" t="s">
        <v>51</v>
      </c>
      <c r="O16" s="44">
        <v>183</v>
      </c>
      <c r="P16" s="45">
        <v>0.12</v>
      </c>
      <c r="Q16" s="46">
        <f>SUM(O16*52)</f>
        <v>9516</v>
      </c>
      <c r="R16" s="47"/>
      <c r="S16" s="30" t="s">
        <v>8</v>
      </c>
    </row>
    <row r="17" spans="4:19" ht="12.75">
      <c r="D17" s="48" t="s">
        <v>214</v>
      </c>
      <c r="E17" s="48" t="s">
        <v>215</v>
      </c>
      <c r="G17" s="48" t="s">
        <v>214</v>
      </c>
      <c r="H17" s="48" t="s">
        <v>215</v>
      </c>
      <c r="J17" s="49" t="s">
        <v>48</v>
      </c>
      <c r="K17" s="49" t="s">
        <v>48</v>
      </c>
      <c r="N17" s="43" t="s">
        <v>52</v>
      </c>
      <c r="O17" s="44">
        <v>962</v>
      </c>
      <c r="P17" s="45">
        <v>0.02</v>
      </c>
      <c r="Q17" s="46">
        <v>50000</v>
      </c>
      <c r="S17" s="30" t="s">
        <v>46</v>
      </c>
    </row>
    <row r="18" spans="2:48" ht="13.5" thickBot="1">
      <c r="B18" s="50" t="s">
        <v>50</v>
      </c>
      <c r="C18" s="51"/>
      <c r="D18" s="22"/>
      <c r="E18" s="22"/>
      <c r="G18" s="22"/>
      <c r="H18" s="22"/>
      <c r="J18" s="49" t="s">
        <v>6</v>
      </c>
      <c r="K18" s="49" t="s">
        <v>6</v>
      </c>
      <c r="N18" s="52"/>
      <c r="O18" s="53"/>
      <c r="P18" s="53"/>
      <c r="Q18" s="54">
        <f>Q17-Q16</f>
        <v>40484</v>
      </c>
      <c r="R18" s="55"/>
      <c r="V18" s="56"/>
      <c r="AH18" s="57" t="s">
        <v>227</v>
      </c>
      <c r="AI18" s="58"/>
      <c r="AJ18" s="58"/>
      <c r="AK18" s="58"/>
      <c r="AL18" s="58"/>
      <c r="AM18" s="58"/>
      <c r="AN18" s="58"/>
      <c r="AO18" s="58"/>
      <c r="AP18" s="58"/>
      <c r="AQ18" s="58"/>
      <c r="AR18" s="58"/>
      <c r="AS18" s="58"/>
      <c r="AT18" s="58"/>
      <c r="AU18" s="58"/>
      <c r="AV18" s="58"/>
    </row>
    <row r="19" spans="1:8" ht="12.75" customHeight="1">
      <c r="A19" s="59" t="s">
        <v>438</v>
      </c>
      <c r="B19" s="60" t="s">
        <v>37</v>
      </c>
      <c r="D19" s="36" t="s">
        <v>47</v>
      </c>
      <c r="E19" s="36" t="s">
        <v>5</v>
      </c>
      <c r="G19" s="36" t="s">
        <v>47</v>
      </c>
      <c r="H19" s="36" t="s">
        <v>5</v>
      </c>
    </row>
    <row r="20" spans="1:17" ht="12.75" customHeight="1">
      <c r="A20" s="61"/>
      <c r="B20" s="60"/>
      <c r="L20" s="31" t="s">
        <v>32</v>
      </c>
      <c r="N20" s="38" t="s">
        <v>49</v>
      </c>
      <c r="O20" s="49" t="s">
        <v>0</v>
      </c>
      <c r="P20" s="62"/>
      <c r="Q20" s="49" t="s">
        <v>1</v>
      </c>
    </row>
    <row r="21" spans="1:24" ht="12.75" customHeight="1">
      <c r="A21" s="61" t="s">
        <v>45</v>
      </c>
      <c r="B21" s="63">
        <v>1</v>
      </c>
      <c r="D21" s="23">
        <v>0</v>
      </c>
      <c r="E21" s="24" t="s">
        <v>46</v>
      </c>
      <c r="G21" s="23">
        <v>0</v>
      </c>
      <c r="H21" s="24" t="s">
        <v>46</v>
      </c>
      <c r="J21" s="30">
        <f>IF(D21="",0,IF(E21="Annually",D21*B21,IF(E21="Monthly",D21*B21*12,D21*B21*52)))</f>
        <v>0</v>
      </c>
      <c r="K21" s="30">
        <f>IF(G21="",0,IF(H21="Annually",G21*B21,IF(H21="Monthly",G21*B21*12,G21*B21*52)))</f>
        <v>0</v>
      </c>
      <c r="X21" s="64" t="s">
        <v>370</v>
      </c>
    </row>
    <row r="22" spans="1:17" ht="12.75" customHeight="1">
      <c r="A22" s="61" t="s">
        <v>38</v>
      </c>
      <c r="B22" s="63">
        <v>1</v>
      </c>
      <c r="D22" s="23">
        <v>0</v>
      </c>
      <c r="E22" s="24" t="s">
        <v>46</v>
      </c>
      <c r="G22" s="23">
        <v>0</v>
      </c>
      <c r="H22" s="24" t="s">
        <v>46</v>
      </c>
      <c r="J22" s="30">
        <f aca="true" t="shared" si="0" ref="J22:J30">IF(D22="",0,IF(E22="Annually",D22*B22,IF(E22="Monthly",D22*B22*12,D22*B22*52)))</f>
        <v>0</v>
      </c>
      <c r="K22" s="30">
        <f aca="true" t="shared" si="1" ref="K22:K30">IF(G22="",0,IF(H22="Annually",G22*B22,IF(H22="Monthly",G22*B22*12,G22*B22*52)))</f>
        <v>0</v>
      </c>
      <c r="N22" s="31" t="s">
        <v>394</v>
      </c>
      <c r="O22" s="65">
        <f>SUM(J21:J47)-SUM(J50:J52)</f>
        <v>0</v>
      </c>
      <c r="P22" s="65"/>
      <c r="Q22" s="65">
        <f>SUM(K21:K47)-SUM(K50:K52)</f>
        <v>0</v>
      </c>
    </row>
    <row r="23" spans="1:29" ht="12.75" customHeight="1">
      <c r="A23" s="61" t="s">
        <v>39</v>
      </c>
      <c r="B23" s="63">
        <v>1</v>
      </c>
      <c r="D23" s="23">
        <v>0</v>
      </c>
      <c r="E23" s="24" t="s">
        <v>46</v>
      </c>
      <c r="G23" s="23">
        <v>0</v>
      </c>
      <c r="H23" s="24" t="s">
        <v>46</v>
      </c>
      <c r="J23" s="30">
        <f t="shared" si="0"/>
        <v>0</v>
      </c>
      <c r="K23" s="30">
        <f t="shared" si="1"/>
        <v>0</v>
      </c>
      <c r="X23" s="33" t="s">
        <v>371</v>
      </c>
      <c r="AC23" s="33" t="s">
        <v>372</v>
      </c>
    </row>
    <row r="24" spans="1:17" ht="12.75" customHeight="1">
      <c r="A24" s="66"/>
      <c r="J24" s="30">
        <f>IF(D24="",0,IF(E24="Annually",D24*L24,IF(E24="Monthly",D24*L24*12,D24*L24*52)))</f>
        <v>0</v>
      </c>
      <c r="K24" s="30">
        <f>IF(G24="",0,IF(H24="Annually",G24*L24,IF(H24="Monthly",G24*L24*12,G24*L24*52)))</f>
        <v>0</v>
      </c>
      <c r="L24" s="63">
        <v>1</v>
      </c>
      <c r="N24" s="31" t="s">
        <v>395</v>
      </c>
      <c r="O24" s="47">
        <f>SUM(O22-O26)</f>
        <v>0</v>
      </c>
      <c r="Q24" s="65">
        <f>SUM(Q22-Q26)</f>
        <v>0</v>
      </c>
    </row>
    <row r="25" spans="1:30" ht="12.75" customHeight="1">
      <c r="A25" s="66"/>
      <c r="J25" s="30">
        <f>IF(D25="",0,IF(E25="Annually",D25*L25,IF(E25="Monthly",D25*L25*12,D25*L25*52)))</f>
        <v>0</v>
      </c>
      <c r="K25" s="30">
        <f>IF(G25="",0,IF(H25="Annually",G25*L25,IF(H25="Monthly",G25*L25*12,G25*L25*52)))</f>
        <v>0</v>
      </c>
      <c r="L25" s="63">
        <v>1</v>
      </c>
      <c r="X25" s="29" t="s">
        <v>373</v>
      </c>
      <c r="Y25" s="67">
        <f>SUM(J21:J47)-SUM(J50:J52)-Y26</f>
        <v>0</v>
      </c>
      <c r="AC25" s="29" t="s">
        <v>373</v>
      </c>
      <c r="AD25" s="67">
        <f>SUM(K21:K47)-SUM(K50:K52)-AD26</f>
        <v>0</v>
      </c>
    </row>
    <row r="26" spans="1:30" ht="12.75" customHeight="1">
      <c r="A26" s="66" t="s">
        <v>40</v>
      </c>
      <c r="B26" s="63">
        <v>1</v>
      </c>
      <c r="D26" s="23">
        <v>0</v>
      </c>
      <c r="E26" s="24" t="s">
        <v>8</v>
      </c>
      <c r="G26" s="23">
        <v>0</v>
      </c>
      <c r="H26" s="24" t="s">
        <v>8</v>
      </c>
      <c r="J26" s="30">
        <f t="shared" si="0"/>
        <v>0</v>
      </c>
      <c r="K26" s="30">
        <f t="shared" si="1"/>
        <v>0</v>
      </c>
      <c r="N26" s="58" t="s">
        <v>396</v>
      </c>
      <c r="O26" s="68">
        <f>J23</f>
        <v>0</v>
      </c>
      <c r="P26" s="58"/>
      <c r="Q26" s="68">
        <f>K23</f>
        <v>0</v>
      </c>
      <c r="X26" s="29" t="s">
        <v>374</v>
      </c>
      <c r="Y26" s="67">
        <f>J23</f>
        <v>0</v>
      </c>
      <c r="AC26" s="29" t="s">
        <v>374</v>
      </c>
      <c r="AD26" s="67">
        <f>K23</f>
        <v>0</v>
      </c>
    </row>
    <row r="27" spans="1:20" ht="12.75" customHeight="1">
      <c r="A27" s="66" t="s">
        <v>41</v>
      </c>
      <c r="B27" s="63">
        <v>1</v>
      </c>
      <c r="D27" s="23">
        <v>0</v>
      </c>
      <c r="E27" s="24" t="s">
        <v>8</v>
      </c>
      <c r="G27" s="23">
        <v>0</v>
      </c>
      <c r="H27" s="24" t="s">
        <v>8</v>
      </c>
      <c r="J27" s="30">
        <f t="shared" si="0"/>
        <v>0</v>
      </c>
      <c r="K27" s="30">
        <f t="shared" si="1"/>
        <v>0</v>
      </c>
      <c r="M27" s="30"/>
      <c r="T27" s="69"/>
    </row>
    <row r="28" spans="1:32" ht="12.75" customHeight="1">
      <c r="A28" s="66" t="s">
        <v>435</v>
      </c>
      <c r="B28" s="63">
        <v>1</v>
      </c>
      <c r="D28" s="23">
        <v>0</v>
      </c>
      <c r="E28" s="24" t="s">
        <v>8</v>
      </c>
      <c r="G28" s="23">
        <v>0</v>
      </c>
      <c r="H28" s="24" t="s">
        <v>8</v>
      </c>
      <c r="J28" s="30">
        <f t="shared" si="0"/>
        <v>0</v>
      </c>
      <c r="K28" s="30">
        <f t="shared" si="1"/>
        <v>0</v>
      </c>
      <c r="Z28" s="402" t="s">
        <v>375</v>
      </c>
      <c r="AA28" s="402"/>
      <c r="AE28" s="402" t="s">
        <v>375</v>
      </c>
      <c r="AF28" s="402"/>
    </row>
    <row r="29" spans="1:32" ht="12.75" customHeight="1">
      <c r="A29" s="66" t="s">
        <v>436</v>
      </c>
      <c r="B29" s="63">
        <v>1</v>
      </c>
      <c r="D29" s="23">
        <v>0</v>
      </c>
      <c r="E29" s="24" t="s">
        <v>8</v>
      </c>
      <c r="G29" s="23">
        <v>0</v>
      </c>
      <c r="H29" s="24" t="s">
        <v>8</v>
      </c>
      <c r="J29" s="30">
        <f t="shared" si="0"/>
        <v>0</v>
      </c>
      <c r="K29" s="30">
        <f t="shared" si="1"/>
        <v>0</v>
      </c>
      <c r="T29" s="70"/>
      <c r="X29" s="29" t="s">
        <v>376</v>
      </c>
      <c r="Z29" s="36" t="s">
        <v>373</v>
      </c>
      <c r="AA29" s="36" t="s">
        <v>377</v>
      </c>
      <c r="AC29" s="29" t="s">
        <v>376</v>
      </c>
      <c r="AE29" s="36" t="s">
        <v>373</v>
      </c>
      <c r="AF29" s="36" t="s">
        <v>377</v>
      </c>
    </row>
    <row r="30" spans="1:20" ht="12.75" customHeight="1">
      <c r="A30" s="66" t="s">
        <v>420</v>
      </c>
      <c r="B30" s="63">
        <v>1</v>
      </c>
      <c r="D30" s="23">
        <v>0</v>
      </c>
      <c r="E30" s="24" t="s">
        <v>8</v>
      </c>
      <c r="G30" s="23">
        <v>0</v>
      </c>
      <c r="H30" s="24" t="s">
        <v>8</v>
      </c>
      <c r="J30" s="30">
        <f t="shared" si="0"/>
        <v>0</v>
      </c>
      <c r="K30" s="30">
        <f t="shared" si="1"/>
        <v>0</v>
      </c>
      <c r="L30" s="31" t="s">
        <v>32</v>
      </c>
      <c r="O30" s="69"/>
      <c r="T30" s="69"/>
    </row>
    <row r="31" spans="1:32" ht="12.75" customHeight="1">
      <c r="A31" s="66"/>
      <c r="D31" s="36"/>
      <c r="E31" s="36"/>
      <c r="F31" s="36"/>
      <c r="G31" s="36"/>
      <c r="H31" s="36"/>
      <c r="J31" s="30">
        <f>IF(D31="",0,IF(E31="Annually",D31*L31,IF(E31="Monthly",D31*L31*12,D31*L31*52)))</f>
        <v>0</v>
      </c>
      <c r="K31" s="30">
        <f>IF(G31="",0,IF(H31="Annually",G31*L31,IF(H31="Monthly",G31*L31*12,G31*L31*52)))</f>
        <v>0</v>
      </c>
      <c r="L31" s="63">
        <v>1</v>
      </c>
      <c r="T31" s="69"/>
      <c r="X31" s="29" t="s">
        <v>96</v>
      </c>
      <c r="Y31" s="71">
        <v>12500</v>
      </c>
      <c r="Z31" s="72">
        <v>0</v>
      </c>
      <c r="AA31" s="72">
        <v>0</v>
      </c>
      <c r="AC31" s="29" t="s">
        <v>96</v>
      </c>
      <c r="AD31" s="73">
        <v>12500</v>
      </c>
      <c r="AE31" s="72">
        <v>0</v>
      </c>
      <c r="AF31" s="72">
        <v>0</v>
      </c>
    </row>
    <row r="32" spans="1:32" ht="12.75" customHeight="1">
      <c r="A32" s="74" t="s">
        <v>437</v>
      </c>
      <c r="D32" s="36"/>
      <c r="E32" s="36"/>
      <c r="F32" s="36"/>
      <c r="G32" s="36"/>
      <c r="H32" s="36"/>
      <c r="J32" s="30">
        <f>IF(D32="",0,IF(E32="Annually",D32*L32,IF(E32="Monthly",D32*L32*12,D32*L32*52)))</f>
        <v>0</v>
      </c>
      <c r="K32" s="30">
        <f>IF(G32="",0,IF(H32="Annually",G32*L32,IF(H32="Monthly",G32*L32*12,G32*L32*52)))</f>
        <v>0</v>
      </c>
      <c r="L32" s="63">
        <v>1</v>
      </c>
      <c r="X32" s="29" t="s">
        <v>378</v>
      </c>
      <c r="Y32" s="71">
        <v>2000</v>
      </c>
      <c r="Z32" s="72" t="s">
        <v>379</v>
      </c>
      <c r="AA32" s="72">
        <v>0</v>
      </c>
      <c r="AC32" s="29" t="s">
        <v>378</v>
      </c>
      <c r="AD32" s="75">
        <f aca="true" t="shared" si="2" ref="AD32:AD37">Y32</f>
        <v>2000</v>
      </c>
      <c r="AE32" s="72" t="s">
        <v>379</v>
      </c>
      <c r="AF32" s="72">
        <v>0</v>
      </c>
    </row>
    <row r="33" spans="15:32" ht="12.75" customHeight="1">
      <c r="O33" s="69"/>
      <c r="P33" s="69"/>
      <c r="Q33" s="69"/>
      <c r="U33" s="76"/>
      <c r="X33" s="29" t="s">
        <v>380</v>
      </c>
      <c r="Y33" s="71">
        <v>50000</v>
      </c>
      <c r="Z33" s="77">
        <v>0.2</v>
      </c>
      <c r="AA33" s="77">
        <v>0.075</v>
      </c>
      <c r="AC33" s="29" t="s">
        <v>380</v>
      </c>
      <c r="AD33" s="75">
        <f t="shared" si="2"/>
        <v>50000</v>
      </c>
      <c r="AE33" s="72">
        <f>Z33</f>
        <v>0.2</v>
      </c>
      <c r="AF33" s="72">
        <v>0.075</v>
      </c>
    </row>
    <row r="34" spans="1:32" ht="12.75" customHeight="1">
      <c r="A34" s="61" t="s">
        <v>44</v>
      </c>
      <c r="B34" s="63">
        <v>0.5</v>
      </c>
      <c r="D34" s="25">
        <v>0</v>
      </c>
      <c r="E34" s="24" t="s">
        <v>8</v>
      </c>
      <c r="G34" s="25">
        <v>0</v>
      </c>
      <c r="H34" s="24" t="s">
        <v>8</v>
      </c>
      <c r="J34" s="30">
        <f>IF(D34="",0,IF(E34="Annually",D34*B34,IF(E34="Monthly",D34*B34*12,D34*B34*52)))</f>
        <v>0</v>
      </c>
      <c r="K34" s="30">
        <f>IF(G34="",0,IF(H34="Annually",G34*B34,IF(H34="Monthly",G34*B34*12,G34*B34*52)))</f>
        <v>0</v>
      </c>
      <c r="N34" s="78"/>
      <c r="O34" s="79"/>
      <c r="P34" s="79"/>
      <c r="Q34" s="79"/>
      <c r="U34" s="80"/>
      <c r="X34" s="29" t="s">
        <v>381</v>
      </c>
      <c r="Y34" s="71">
        <v>150000</v>
      </c>
      <c r="Z34" s="77">
        <v>0.4</v>
      </c>
      <c r="AA34" s="77">
        <v>0.325</v>
      </c>
      <c r="AC34" s="29" t="s">
        <v>381</v>
      </c>
      <c r="AD34" s="75">
        <f t="shared" si="2"/>
        <v>150000</v>
      </c>
      <c r="AE34" s="72">
        <f>Z34</f>
        <v>0.4</v>
      </c>
      <c r="AF34" s="72">
        <v>0.325</v>
      </c>
    </row>
    <row r="35" spans="1:32" ht="12.75" customHeight="1">
      <c r="A35" s="61" t="s">
        <v>439</v>
      </c>
      <c r="B35" s="63">
        <v>0.5</v>
      </c>
      <c r="D35" s="25">
        <v>0</v>
      </c>
      <c r="E35" s="24" t="s">
        <v>8</v>
      </c>
      <c r="G35" s="25">
        <v>0</v>
      </c>
      <c r="H35" s="24" t="s">
        <v>8</v>
      </c>
      <c r="J35" s="30">
        <f>IF(D35="",0,IF(E35="Annually",D35*B35,IF(E35="Monthly",D35*B35*12,D35*B35*52)))</f>
        <v>0</v>
      </c>
      <c r="K35" s="30">
        <f>IF(G35="",0,IF(H35="Annually",G35*B35,IF(H35="Monthly",G35*B35*12,G35*B35*52)))</f>
        <v>0</v>
      </c>
      <c r="N35" s="31" t="s">
        <v>53</v>
      </c>
      <c r="O35" s="69">
        <f>IF(O24+J50&lt;Q16,0,IF(O24+J50&gt;$Q$17,$Q$18*$P$16,(O24+J50-Q16)*$P$16))</f>
        <v>0</v>
      </c>
      <c r="P35" s="69"/>
      <c r="Q35" s="69">
        <f>IF(Q24+K50&lt;Q16,0,IF(Q24+K50&gt;$Q$17,$Q$18*$P$16,(Q24+K50-Q16)*$P$16))</f>
        <v>0</v>
      </c>
      <c r="U35" s="80"/>
      <c r="X35" s="29" t="s">
        <v>357</v>
      </c>
      <c r="Z35" s="77">
        <v>0.45</v>
      </c>
      <c r="AA35" s="77">
        <v>0.381</v>
      </c>
      <c r="AC35" s="29" t="s">
        <v>357</v>
      </c>
      <c r="AD35" s="75"/>
      <c r="AE35" s="72">
        <f>Z35</f>
        <v>0.45</v>
      </c>
      <c r="AF35" s="72">
        <v>0.381</v>
      </c>
    </row>
    <row r="36" spans="1:32" ht="12.75" customHeight="1">
      <c r="A36" s="61" t="s">
        <v>42</v>
      </c>
      <c r="B36" s="63">
        <v>0.5</v>
      </c>
      <c r="D36" s="25">
        <v>0</v>
      </c>
      <c r="E36" s="24" t="s">
        <v>8</v>
      </c>
      <c r="G36" s="25">
        <v>0</v>
      </c>
      <c r="H36" s="24" t="s">
        <v>8</v>
      </c>
      <c r="J36" s="30">
        <f>IF(D36="",0,IF(E36="Annually",D36*B36,IF(E36="Monthly",D36*B36*12,D36*B36*52)))</f>
        <v>0</v>
      </c>
      <c r="K36" s="30">
        <f>IF(G36="",0,IF(H36="Annually",G36*B36,IF(H36="Monthly",G36*B36*12,G36*B36*52)))</f>
        <v>0</v>
      </c>
      <c r="N36" s="31" t="s">
        <v>54</v>
      </c>
      <c r="O36" s="69">
        <f>IF(O24+J50&lt;$Q$17,0,(O24+J50-$Q$17)*$P$17)</f>
        <v>0</v>
      </c>
      <c r="P36" s="69"/>
      <c r="Q36" s="69">
        <f>IF(Q24+K50&lt;$Q$17,0,(Q24+K50-$Q$17)*$P$17)</f>
        <v>0</v>
      </c>
      <c r="U36" s="36"/>
      <c r="X36" s="29" t="s">
        <v>382</v>
      </c>
      <c r="Y36" s="71">
        <v>100000</v>
      </c>
      <c r="Z36" s="72"/>
      <c r="AA36" s="72"/>
      <c r="AC36" s="29" t="s">
        <v>382</v>
      </c>
      <c r="AD36" s="75">
        <f t="shared" si="2"/>
        <v>100000</v>
      </c>
      <c r="AE36" s="72"/>
      <c r="AF36" s="72"/>
    </row>
    <row r="37" spans="1:30" ht="12.75" customHeight="1">
      <c r="A37" s="61" t="s">
        <v>421</v>
      </c>
      <c r="B37" s="63">
        <v>0.5</v>
      </c>
      <c r="D37" s="25">
        <v>0</v>
      </c>
      <c r="E37" s="24" t="s">
        <v>8</v>
      </c>
      <c r="G37" s="25">
        <v>0</v>
      </c>
      <c r="H37" s="24" t="s">
        <v>8</v>
      </c>
      <c r="J37" s="30">
        <f>IF(D37="",0,IF(E37="Annually",D37*B37,IF(E37="Monthly",D37*B37*12,D37*B37*52)))</f>
        <v>0</v>
      </c>
      <c r="K37" s="30">
        <f>IF(G37="",0,IF(H37="Annually",G37*B37,IF(H37="Monthly",G37*B37*12,G37*B37*52)))</f>
        <v>0</v>
      </c>
      <c r="N37" s="78"/>
      <c r="O37" s="79"/>
      <c r="P37" s="79"/>
      <c r="Q37" s="79"/>
      <c r="U37" s="36"/>
      <c r="X37" s="29" t="s">
        <v>383</v>
      </c>
      <c r="Y37" s="71">
        <v>125000</v>
      </c>
      <c r="AC37" s="29" t="s">
        <v>383</v>
      </c>
      <c r="AD37" s="75">
        <f t="shared" si="2"/>
        <v>125000</v>
      </c>
    </row>
    <row r="38" spans="1:18" ht="12.75" customHeight="1">
      <c r="A38" s="61" t="s">
        <v>440</v>
      </c>
      <c r="B38" s="63">
        <v>0.5</v>
      </c>
      <c r="D38" s="25">
        <v>0</v>
      </c>
      <c r="E38" s="24" t="s">
        <v>8</v>
      </c>
      <c r="G38" s="25">
        <v>0</v>
      </c>
      <c r="H38" s="24" t="s">
        <v>8</v>
      </c>
      <c r="J38" s="30">
        <f>IF(D38="",0,IF(E38="Annually",D38*B38,IF(E38="Monthly",D38*B38*12,D38*B38*52)))</f>
        <v>0</v>
      </c>
      <c r="K38" s="30">
        <f>IF(G38="",0,IF(H38="Annually",G38*B38,IF(H38="Monthly",G38*B38*12,G38*B38*52)))</f>
        <v>0</v>
      </c>
      <c r="N38" s="31" t="s">
        <v>55</v>
      </c>
      <c r="O38" s="79">
        <f>AA44</f>
        <v>0</v>
      </c>
      <c r="P38" s="79"/>
      <c r="Q38" s="79">
        <f>AF44</f>
        <v>0</v>
      </c>
      <c r="R38" s="69"/>
    </row>
    <row r="39" spans="1:18" ht="12.75" customHeight="1">
      <c r="A39" s="61"/>
      <c r="D39" s="36"/>
      <c r="E39" s="36"/>
      <c r="F39" s="36"/>
      <c r="G39" s="36"/>
      <c r="H39" s="36"/>
      <c r="J39" s="30">
        <f>IF(D39="",0,IF(E39="Annually",D39*L39,IF(E39="Monthly",D39*L39*12,D39*L39*52)))</f>
        <v>0</v>
      </c>
      <c r="K39" s="30">
        <f>IF(G39="",0,IF(H39="Annually",G39*L39,IF(H39="Monthly",G39*L39*12,G39*L39*52)))</f>
        <v>0</v>
      </c>
      <c r="L39" s="63">
        <v>0.5</v>
      </c>
      <c r="N39" s="31" t="s">
        <v>56</v>
      </c>
      <c r="O39" s="79">
        <f>AA45</f>
        <v>0</v>
      </c>
      <c r="P39" s="79"/>
      <c r="Q39" s="79">
        <f>AF45</f>
        <v>0</v>
      </c>
      <c r="R39" s="69"/>
    </row>
    <row r="40" spans="1:29" ht="12.75" customHeight="1">
      <c r="A40" s="61"/>
      <c r="D40" s="36"/>
      <c r="E40" s="36"/>
      <c r="F40" s="36"/>
      <c r="G40" s="36"/>
      <c r="H40" s="36"/>
      <c r="J40" s="30">
        <f>IF(D40="",0,IF(E40="Annually",D40*L40,IF(E40="Monthly",D40*L40*12,D40*L40*52)))</f>
        <v>0</v>
      </c>
      <c r="K40" s="30">
        <f>IF(G40="",0,IF(H40="Annually",G40*L40,IF(H40="Monthly",G40*L40*12,G40*L40*52)))</f>
        <v>0</v>
      </c>
      <c r="L40" s="63">
        <v>0.5</v>
      </c>
      <c r="N40" s="31" t="s">
        <v>112</v>
      </c>
      <c r="O40" s="79">
        <f>AA46</f>
        <v>0</v>
      </c>
      <c r="P40" s="79"/>
      <c r="Q40" s="79">
        <f>AF46</f>
        <v>0</v>
      </c>
      <c r="R40" s="69"/>
      <c r="X40" s="64" t="s">
        <v>384</v>
      </c>
      <c r="AC40" s="64" t="s">
        <v>384</v>
      </c>
    </row>
    <row r="41" spans="1:12" ht="12.75" customHeight="1">
      <c r="A41" s="59" t="s">
        <v>441</v>
      </c>
      <c r="D41" s="36"/>
      <c r="E41" s="36"/>
      <c r="F41" s="36"/>
      <c r="G41" s="36"/>
      <c r="H41" s="36"/>
      <c r="J41" s="30">
        <f>IF(D41="",0,IF(E41="Annually",D41*L41,IF(E41="Monthly",D41*L41*12,D41*L41*52)))</f>
        <v>0</v>
      </c>
      <c r="K41" s="30">
        <f>IF(G41="",0,IF(H41="Annually",G41*L41,IF(H41="Monthly",G41*L41*12,G41*L41*52)))</f>
        <v>0</v>
      </c>
      <c r="L41" s="63">
        <v>0.5</v>
      </c>
    </row>
    <row r="42" spans="1:21" ht="12.75" customHeight="1">
      <c r="A42" s="61"/>
      <c r="B42" s="63"/>
      <c r="U42" s="81"/>
    </row>
    <row r="43" spans="1:32" ht="12.75" customHeight="1">
      <c r="A43" s="61" t="s">
        <v>135</v>
      </c>
      <c r="B43" s="63">
        <v>1</v>
      </c>
      <c r="D43" s="25">
        <v>0</v>
      </c>
      <c r="E43" s="24" t="s">
        <v>8</v>
      </c>
      <c r="G43" s="25">
        <v>0</v>
      </c>
      <c r="H43" s="24" t="s">
        <v>8</v>
      </c>
      <c r="J43" s="30">
        <f>IF(D43="",0,IF(E43="Annually",D43*B43,IF(E43="Monthly",D43*B43*12,D43*B43*52)))</f>
        <v>0</v>
      </c>
      <c r="K43" s="30">
        <f>IF(G43="",0,IF(H43="Annually",G43*B43,IF(H43="Monthly",G43*B43*12,G43*B43*52)))</f>
        <v>0</v>
      </c>
      <c r="U43" s="81"/>
      <c r="X43" s="29" t="s">
        <v>385</v>
      </c>
      <c r="Y43" s="75">
        <f>IF(Y25&lt;Y63,Y25,IF(Y25+Y26&gt;Y36,Y63-Y49,Y63))</f>
        <v>0</v>
      </c>
      <c r="Z43" s="72">
        <v>0</v>
      </c>
      <c r="AA43" s="82">
        <f>Z43*Y43</f>
        <v>0</v>
      </c>
      <c r="AC43" s="29" t="s">
        <v>385</v>
      </c>
      <c r="AD43" s="75">
        <f>IF(AD25&lt;AD63,AD25,IF(AD25+AD26&gt;AD36,AD63-AD49,AD63))</f>
        <v>0</v>
      </c>
      <c r="AE43" s="72">
        <v>0</v>
      </c>
      <c r="AF43" s="82">
        <f>AE43*AD43</f>
        <v>0</v>
      </c>
    </row>
    <row r="44" spans="1:32" ht="12.75" customHeight="1">
      <c r="A44" s="61" t="s">
        <v>136</v>
      </c>
      <c r="B44" s="63">
        <v>1</v>
      </c>
      <c r="D44" s="25">
        <v>0</v>
      </c>
      <c r="E44" s="24" t="s">
        <v>8</v>
      </c>
      <c r="G44" s="25">
        <v>0</v>
      </c>
      <c r="H44" s="24" t="s">
        <v>8</v>
      </c>
      <c r="J44" s="30">
        <f>IF(D44="",0,IF(E44="Annually",D44*B44,IF(E44="Monthly",D44*B44*12,D44*B44*52)))</f>
        <v>0</v>
      </c>
      <c r="K44" s="30">
        <f>IF(G44="",0,IF(H44="Annually",G44*B44,IF(H44="Monthly",G44*B44*12,G44*B44*52)))</f>
        <v>0</v>
      </c>
      <c r="N44" s="38" t="s">
        <v>35</v>
      </c>
      <c r="O44" s="79"/>
      <c r="P44" s="79"/>
      <c r="Q44" s="79"/>
      <c r="S44" s="47"/>
      <c r="X44" s="29" t="s">
        <v>386</v>
      </c>
      <c r="Y44" s="75">
        <f>IF(Y25&lt;Y63,0,IF(Y25&gt;Y63+Y33-Y31,Y33-Y31,Y25-Y63))</f>
        <v>0</v>
      </c>
      <c r="Z44" s="72">
        <f>Z33</f>
        <v>0.2</v>
      </c>
      <c r="AA44" s="82">
        <f>Z44*Y44</f>
        <v>0</v>
      </c>
      <c r="AC44" s="29" t="s">
        <v>386</v>
      </c>
      <c r="AD44" s="75">
        <f>IF(AD25&lt;AD63,0,IF(AD25&gt;AD63+AD33-AD31,AD33-AD31,AD25-AD63))</f>
        <v>0</v>
      </c>
      <c r="AE44" s="72">
        <f>AE33</f>
        <v>0.2</v>
      </c>
      <c r="AF44" s="82">
        <f>AE44*AD44</f>
        <v>0</v>
      </c>
    </row>
    <row r="45" spans="1:32" ht="12.75" customHeight="1">
      <c r="A45" s="61" t="s">
        <v>137</v>
      </c>
      <c r="B45" s="63">
        <v>1</v>
      </c>
      <c r="D45" s="25">
        <v>0</v>
      </c>
      <c r="E45" s="24" t="s">
        <v>8</v>
      </c>
      <c r="G45" s="25">
        <v>0</v>
      </c>
      <c r="H45" s="24" t="s">
        <v>8</v>
      </c>
      <c r="J45" s="30">
        <f>IF(D45="",0,IF(E45="Annually",D45*B45,IF(E45="Monthly",D45*B45*12,D45*B45*52)))</f>
        <v>0</v>
      </c>
      <c r="K45" s="30">
        <f>IF(G45="",0,IF(H45="Annually",G45*B45,IF(H45="Monthly",G45*B45*12,G45*B45*52)))</f>
        <v>0</v>
      </c>
      <c r="N45" s="62"/>
      <c r="O45" s="79"/>
      <c r="P45" s="79"/>
      <c r="Q45" s="79"/>
      <c r="S45" s="47"/>
      <c r="U45" s="83"/>
      <c r="X45" s="29" t="s">
        <v>387</v>
      </c>
      <c r="Y45" s="75">
        <f>IF(Y25&gt;=Y34,Y34-Y44-Y43,IF(Y25&gt;Y44+Y43,Y25-Y44-Y43,0))</f>
        <v>0</v>
      </c>
      <c r="Z45" s="72">
        <f>Z34</f>
        <v>0.4</v>
      </c>
      <c r="AA45" s="82">
        <f>Z45*Y45</f>
        <v>0</v>
      </c>
      <c r="AC45" s="29" t="s">
        <v>387</v>
      </c>
      <c r="AD45" s="75">
        <f>IF(AD25&gt;=AD34,AD34-AD44-AD43,IF(AD25&gt;AD44+AD43,AD25-AD44-AD43,0))</f>
        <v>0</v>
      </c>
      <c r="AE45" s="72">
        <f>AE34</f>
        <v>0.4</v>
      </c>
      <c r="AF45" s="82">
        <f>AE45*AD45</f>
        <v>0</v>
      </c>
    </row>
    <row r="46" spans="1:32" ht="12.75" customHeight="1">
      <c r="A46" s="61"/>
      <c r="D46" s="36"/>
      <c r="E46" s="36"/>
      <c r="F46" s="36"/>
      <c r="G46" s="36"/>
      <c r="H46" s="36"/>
      <c r="J46" s="30">
        <f>IF(D46="",0,IF(E46="Annually",D46*L46,IF(E46="Monthly",D46*L46*12,D46*L46*52)))</f>
        <v>0</v>
      </c>
      <c r="K46" s="30">
        <f>IF(G46="",0,IF(H46="Annually",G46*L46,IF(H46="Monthly",G46*L46*12,G46*L46*52)))</f>
        <v>0</v>
      </c>
      <c r="L46" s="63">
        <v>0.5</v>
      </c>
      <c r="N46" s="31" t="s">
        <v>148</v>
      </c>
      <c r="O46" s="69">
        <f>IF(D13="No",O35+O36,0)</f>
        <v>0</v>
      </c>
      <c r="P46" s="69"/>
      <c r="Q46" s="69">
        <f>IF(G13="No",Q35+Q36,0)</f>
        <v>0</v>
      </c>
      <c r="S46" s="47"/>
      <c r="X46" s="29" t="s">
        <v>388</v>
      </c>
      <c r="Y46" s="75">
        <f>IF(Y25&lt;=Y34,0,Y25-SUM(Y43:Y45))</f>
        <v>0</v>
      </c>
      <c r="Z46" s="72">
        <f>Z35</f>
        <v>0.45</v>
      </c>
      <c r="AA46" s="82">
        <f>Z46*Y46</f>
        <v>0</v>
      </c>
      <c r="AC46" s="29" t="s">
        <v>388</v>
      </c>
      <c r="AD46" s="75">
        <f>IF(AD25&lt;=AD34,0,AD25-SUM(AD43:AD45))</f>
        <v>0</v>
      </c>
      <c r="AE46" s="72">
        <f>AE35</f>
        <v>0.45</v>
      </c>
      <c r="AF46" s="82">
        <f>AE46*AD46</f>
        <v>0</v>
      </c>
    </row>
    <row r="47" spans="1:32" ht="12.75" customHeight="1">
      <c r="A47" s="61"/>
      <c r="D47" s="36"/>
      <c r="E47" s="36"/>
      <c r="F47" s="36"/>
      <c r="G47" s="36"/>
      <c r="H47" s="36"/>
      <c r="J47" s="30">
        <f>IF(D47="",0,IF(E47="Annually",D47*L47,IF(E47="Monthly",D47*L47*12,D47*L47*52)))</f>
        <v>0</v>
      </c>
      <c r="K47" s="30">
        <f>IF(G47="",0,IF(H47="Annually",G47*L47,IF(H47="Monthly",G47*L47*12,G47*L47*52)))</f>
        <v>0</v>
      </c>
      <c r="L47" s="63">
        <v>1</v>
      </c>
      <c r="N47" s="31" t="s">
        <v>397</v>
      </c>
      <c r="O47" s="69">
        <f>SUM(O38:O40)</f>
        <v>0</v>
      </c>
      <c r="P47" s="69"/>
      <c r="Q47" s="69">
        <f>SUM(Q38:Q40)</f>
        <v>0</v>
      </c>
      <c r="S47" s="31" t="s">
        <v>105</v>
      </c>
      <c r="X47" s="64" t="s">
        <v>7</v>
      </c>
      <c r="Y47" s="84">
        <f>SUM(Y43:Y46)</f>
        <v>0</v>
      </c>
      <c r="Z47" s="64"/>
      <c r="AA47" s="85">
        <f>SUM(AA43:AA46)</f>
        <v>0</v>
      </c>
      <c r="AC47" s="64" t="s">
        <v>7</v>
      </c>
      <c r="AD47" s="84">
        <f>SUM(AD43:AD46)</f>
        <v>0</v>
      </c>
      <c r="AE47" s="64"/>
      <c r="AF47" s="85">
        <f>SUM(AF43:AF46)</f>
        <v>0</v>
      </c>
    </row>
    <row r="48" spans="1:17" ht="12.75" customHeight="1">
      <c r="A48" s="59" t="s">
        <v>210</v>
      </c>
      <c r="B48" s="63"/>
      <c r="N48" s="31" t="s">
        <v>398</v>
      </c>
      <c r="O48" s="79">
        <f>AA57</f>
        <v>0</v>
      </c>
      <c r="P48" s="79"/>
      <c r="Q48" s="79">
        <f>AF57</f>
        <v>0</v>
      </c>
    </row>
    <row r="49" spans="1:30" ht="12.75" customHeight="1">
      <c r="A49" s="59"/>
      <c r="B49" s="60"/>
      <c r="L49" s="62"/>
      <c r="N49" s="31" t="s">
        <v>224</v>
      </c>
      <c r="O49" s="69">
        <f>J55+J56</f>
        <v>0</v>
      </c>
      <c r="P49" s="69"/>
      <c r="Q49" s="69">
        <f>K55+K56</f>
        <v>0</v>
      </c>
      <c r="X49" s="29" t="s">
        <v>389</v>
      </c>
      <c r="Y49" s="82">
        <f>IF(Y25+Y26&lt;Y36,0,IF(Y25+Y26&gt;=Y37,MIN(Y63,(Y37-Y36)/2),MIN(Y63,(Y25+Y26-Y36)/2)))</f>
        <v>0</v>
      </c>
      <c r="AC49" s="29" t="s">
        <v>389</v>
      </c>
      <c r="AD49" s="82">
        <f>IF(AD25+AD26&lt;AD36,0,IF(AD25+AD26&gt;=AD37,MIN(AD63,(AD37-AD36)/2),MIN(AD63,(AD25+AD26-AD36)/2)))</f>
        <v>0</v>
      </c>
    </row>
    <row r="50" spans="1:17" ht="12.75" customHeight="1">
      <c r="A50" s="61" t="s">
        <v>211</v>
      </c>
      <c r="B50" s="63">
        <v>1</v>
      </c>
      <c r="D50" s="23">
        <v>0</v>
      </c>
      <c r="E50" s="24" t="s">
        <v>8</v>
      </c>
      <c r="G50" s="23">
        <v>0</v>
      </c>
      <c r="H50" s="24" t="s">
        <v>8</v>
      </c>
      <c r="J50" s="30">
        <f>IF(D50="",0,IF(E50="Annually",D50*B50,IF(E50="Monthly",D50*B50*12,D50*B50*52)))</f>
        <v>0</v>
      </c>
      <c r="K50" s="30">
        <f>IF(G50="",0,IF(H50="Annually",G50*B50,IF(H50="Monthly",G50*B50*12,G50*B50*52)))</f>
        <v>0</v>
      </c>
      <c r="M50" s="62"/>
      <c r="N50" s="62" t="s">
        <v>57</v>
      </c>
      <c r="O50" s="86">
        <f>SUM(O46:O49)</f>
        <v>0</v>
      </c>
      <c r="P50" s="86"/>
      <c r="Q50" s="86">
        <f>SUM(Q46:Q49)</f>
        <v>0</v>
      </c>
    </row>
    <row r="51" spans="1:29" ht="12.75" customHeight="1">
      <c r="A51" s="61" t="s">
        <v>107</v>
      </c>
      <c r="B51" s="63">
        <v>1</v>
      </c>
      <c r="D51" s="23">
        <v>0</v>
      </c>
      <c r="E51" s="24" t="s">
        <v>8</v>
      </c>
      <c r="G51" s="23">
        <v>0</v>
      </c>
      <c r="H51" s="24" t="s">
        <v>8</v>
      </c>
      <c r="J51" s="30">
        <f>IF(D51="",0,IF(E51="Annually",D51*B51,IF(E51="Monthly",D51*B51*12,D51*B51*52)))</f>
        <v>0</v>
      </c>
      <c r="K51" s="30">
        <f>IF(G51="",0,IF(H51="Annually",G51*B51,IF(H51="Monthly",G51*B51*12,G51*B51*52)))</f>
        <v>0</v>
      </c>
      <c r="O51" s="69"/>
      <c r="P51" s="69"/>
      <c r="Q51" s="69"/>
      <c r="X51" s="64" t="s">
        <v>390</v>
      </c>
      <c r="AC51" s="64" t="s">
        <v>390</v>
      </c>
    </row>
    <row r="52" spans="1:30" ht="12.75" customHeight="1">
      <c r="A52" s="61" t="s">
        <v>34</v>
      </c>
      <c r="B52" s="63">
        <v>1</v>
      </c>
      <c r="D52" s="23">
        <v>0</v>
      </c>
      <c r="E52" s="24" t="s">
        <v>8</v>
      </c>
      <c r="G52" s="23">
        <v>0</v>
      </c>
      <c r="H52" s="24" t="s">
        <v>8</v>
      </c>
      <c r="J52" s="30">
        <f>IF(D52="",0,IF(E52="Annually",D52*B52,IF(E52="Monthly",D52*B52*12,D52*B52*52)))</f>
        <v>0</v>
      </c>
      <c r="K52" s="30">
        <f>IF(G52="",0,IF(H52="Annually",G52*B52,IF(H52="Monthly",G52*B52*12,G52*B52*52)))</f>
        <v>0</v>
      </c>
      <c r="Y52" s="75"/>
      <c r="AD52" s="75"/>
    </row>
    <row r="53" spans="1:32" ht="12.75" customHeight="1">
      <c r="A53" s="61"/>
      <c r="B53" s="63"/>
      <c r="N53" s="87" t="s">
        <v>399</v>
      </c>
      <c r="O53" s="88">
        <f>SUM(O22-O50)</f>
        <v>0</v>
      </c>
      <c r="P53" s="88"/>
      <c r="Q53" s="88">
        <f>SUM(Q22-Q50)</f>
        <v>0</v>
      </c>
      <c r="X53" s="29" t="s">
        <v>385</v>
      </c>
      <c r="Y53" s="75">
        <f>IF(Y25+Y26&lt;Y63,Y25+Y26-Y43,IF(Y25&gt;=Y63,Y32,MIN(Y26,Y32+Y63-Y43)))</f>
        <v>0</v>
      </c>
      <c r="Z53" s="72">
        <v>0</v>
      </c>
      <c r="AA53" s="89">
        <f>Y53*Z53</f>
        <v>0</v>
      </c>
      <c r="AC53" s="29" t="s">
        <v>385</v>
      </c>
      <c r="AD53" s="75">
        <f>IF(AD25+AD26&lt;AD63,AD25+AD26-AD43,IF(AD25&gt;=AD63,AD32,MIN(AD26,AD32+AD63-AD43)))</f>
        <v>0</v>
      </c>
      <c r="AE53" s="72">
        <v>0</v>
      </c>
      <c r="AF53" s="89">
        <f>AD53*AE53</f>
        <v>0</v>
      </c>
    </row>
    <row r="54" spans="1:32" ht="12.75" customHeight="1">
      <c r="A54" s="59" t="s">
        <v>212</v>
      </c>
      <c r="B54" s="60"/>
      <c r="D54" s="90"/>
      <c r="G54" s="90"/>
      <c r="N54" s="91"/>
      <c r="O54" s="87"/>
      <c r="P54" s="88"/>
      <c r="Q54" s="88"/>
      <c r="X54" s="29" t="s">
        <v>386</v>
      </c>
      <c r="Y54" s="75">
        <f>IF(Y53&gt;=Y26,0,IF(Y25+Y26&lt;=Y33-Y31+Y63,Y25+Y26-Y43-Y44-Y53,IF(Y44&gt;=Y33-Y31,0,IF(Y25+Y26&lt;Y34,Y33-Y31-Y32-Y44,Y26-Y53-Y44))))</f>
        <v>0</v>
      </c>
      <c r="Z54" s="72">
        <f>AA33</f>
        <v>0.075</v>
      </c>
      <c r="AA54" s="89">
        <f>Y54*Z54</f>
        <v>0</v>
      </c>
      <c r="AC54" s="29" t="s">
        <v>386</v>
      </c>
      <c r="AD54" s="75">
        <f>IF(AD53&gt;=AD26,0,IF(AD25+AD26&lt;=AD33-AD31+AD63,AD25+AD26-AD43-AD44-AD53,IF(AD44&gt;=AD33-AD31,0,IF(AD25+AD26&lt;AD34,AD33-AD31-AD32-AD44,AD26-AD53-AD44))))</f>
        <v>0</v>
      </c>
      <c r="AE54" s="72">
        <f>Z54</f>
        <v>0.075</v>
      </c>
      <c r="AF54" s="89">
        <f>AD54*AE54</f>
        <v>0</v>
      </c>
    </row>
    <row r="55" spans="1:32" ht="12.75" customHeight="1">
      <c r="A55" s="61" t="s">
        <v>106</v>
      </c>
      <c r="B55" s="63">
        <v>1</v>
      </c>
      <c r="D55" s="25">
        <v>0</v>
      </c>
      <c r="E55" s="24" t="s">
        <v>8</v>
      </c>
      <c r="G55" s="25">
        <v>0</v>
      </c>
      <c r="H55" s="24" t="s">
        <v>8</v>
      </c>
      <c r="J55" s="30">
        <f>IF(D55="",0,IF(E55="Annually",D55*B55,IF(E55="Monthly",D55*B55*12,D55*B55*52)))</f>
        <v>0</v>
      </c>
      <c r="K55" s="30">
        <f>IF(G55="",0,IF(H55="Annually",G55*B55,IF(H55="Monthly",G55*B55*12,G55*B55*52)))</f>
        <v>0</v>
      </c>
      <c r="N55" s="87" t="s">
        <v>36</v>
      </c>
      <c r="O55" s="92">
        <f>SUM(O53/12)</f>
        <v>0</v>
      </c>
      <c r="P55" s="87"/>
      <c r="Q55" s="88">
        <f>SUM(Q53/12)</f>
        <v>0</v>
      </c>
      <c r="X55" s="29" t="s">
        <v>387</v>
      </c>
      <c r="Y55" s="75">
        <f>IF(Y53+Y54&gt;=Y26,0,IF(Y25&gt;=Y34,0,IF(Y25+Y26&lt;Y34,Y26-Y53-Y54,Y34-Y47-Y53-Y54)))</f>
        <v>0</v>
      </c>
      <c r="Z55" s="72">
        <f>AA34</f>
        <v>0.325</v>
      </c>
      <c r="AA55" s="89">
        <f>Y55*Z55</f>
        <v>0</v>
      </c>
      <c r="AC55" s="29" t="s">
        <v>387</v>
      </c>
      <c r="AD55" s="75">
        <f>IF(AD53+AD54&gt;=AD26,0,IF(AD25&gt;=AD34,0,IF(AD25+AD26&lt;AD34,AD26-AD53-AD54,AD34-AD47-AD53-AD54)))</f>
        <v>0</v>
      </c>
      <c r="AE55" s="72">
        <f>Z55</f>
        <v>0.325</v>
      </c>
      <c r="AF55" s="89">
        <f>AD55*AE55</f>
        <v>0</v>
      </c>
    </row>
    <row r="56" spans="1:32" ht="12.75" customHeight="1">
      <c r="A56" s="61" t="s">
        <v>34</v>
      </c>
      <c r="B56" s="63">
        <v>1</v>
      </c>
      <c r="D56" s="25">
        <v>0</v>
      </c>
      <c r="E56" s="24" t="s">
        <v>8</v>
      </c>
      <c r="G56" s="25">
        <v>0</v>
      </c>
      <c r="H56" s="24" t="s">
        <v>8</v>
      </c>
      <c r="J56" s="30">
        <f>IF(D56="",0,IF(E56="Annually",D56*B56,IF(E56="Monthly",D56*B56*12,D56*B56*52)))</f>
        <v>0</v>
      </c>
      <c r="K56" s="30">
        <f>IF(G56="",0,IF(H56="Annually",G56*B56,IF(H56="Monthly",G56*B56*12,G56*B56*52)))</f>
        <v>0</v>
      </c>
      <c r="N56" s="78"/>
      <c r="O56" s="69"/>
      <c r="P56" s="69"/>
      <c r="Q56" s="69"/>
      <c r="X56" s="29" t="s">
        <v>388</v>
      </c>
      <c r="Y56" s="75">
        <f>IF(SUM(Y53:Y55)&gt;=Y26,0,Y26-SUM(Y53:Y55))</f>
        <v>0</v>
      </c>
      <c r="Z56" s="72">
        <f>AA35</f>
        <v>0.381</v>
      </c>
      <c r="AA56" s="89">
        <f>Y56*Z56</f>
        <v>0</v>
      </c>
      <c r="AC56" s="29" t="s">
        <v>388</v>
      </c>
      <c r="AD56" s="75">
        <f>IF(SUM(AD53:AD55)&gt;=AD26,0,AD26-SUM(AD53:AD55))</f>
        <v>0</v>
      </c>
      <c r="AE56" s="72">
        <f>Z56</f>
        <v>0.381</v>
      </c>
      <c r="AF56" s="89">
        <f>AD56*AE56</f>
        <v>0</v>
      </c>
    </row>
    <row r="57" spans="24:32" ht="12.75" customHeight="1">
      <c r="X57" s="64" t="s">
        <v>7</v>
      </c>
      <c r="Y57" s="84">
        <f>SUM(Y53:Y56)</f>
        <v>0</v>
      </c>
      <c r="Z57" s="64"/>
      <c r="AA57" s="85">
        <f>SUM(AA53:AA56)</f>
        <v>0</v>
      </c>
      <c r="AC57" s="64" t="s">
        <v>7</v>
      </c>
      <c r="AD57" s="84">
        <f>SUM(AD53:AD56)</f>
        <v>0</v>
      </c>
      <c r="AE57" s="64"/>
      <c r="AF57" s="85">
        <f>SUM(AF53:AF56)</f>
        <v>0</v>
      </c>
    </row>
    <row r="58" spans="1:17" ht="12.75" customHeight="1">
      <c r="A58" s="61" t="s">
        <v>399</v>
      </c>
      <c r="D58" s="83">
        <f>O53</f>
        <v>0</v>
      </c>
      <c r="E58" s="29" t="s">
        <v>46</v>
      </c>
      <c r="G58" s="83">
        <f>Q53</f>
        <v>0</v>
      </c>
      <c r="H58" s="29" t="s">
        <v>46</v>
      </c>
      <c r="N58" s="78"/>
      <c r="O58" s="69"/>
      <c r="P58" s="69"/>
      <c r="Q58" s="69"/>
    </row>
    <row r="59" spans="14:17" ht="12.75" customHeight="1">
      <c r="N59" s="78"/>
      <c r="O59" s="69"/>
      <c r="P59" s="69"/>
      <c r="Q59" s="69"/>
    </row>
    <row r="60" spans="1:17" ht="12.75" customHeight="1">
      <c r="A60" s="61" t="s">
        <v>36</v>
      </c>
      <c r="B60" s="60"/>
      <c r="D60" s="81">
        <f>O55</f>
        <v>0</v>
      </c>
      <c r="E60" s="29" t="s">
        <v>8</v>
      </c>
      <c r="G60" s="81">
        <f>Q55</f>
        <v>0</v>
      </c>
      <c r="H60" s="29" t="str">
        <f>E60</f>
        <v>Monthly</v>
      </c>
      <c r="M60" s="38"/>
      <c r="N60" s="78"/>
      <c r="O60" s="69"/>
      <c r="P60" s="69"/>
      <c r="Q60" s="69"/>
    </row>
    <row r="61" spans="14:17" ht="12.75" customHeight="1">
      <c r="N61" s="78"/>
      <c r="O61" s="69"/>
      <c r="P61" s="69"/>
      <c r="Q61" s="69"/>
    </row>
    <row r="62" spans="1:30" ht="12.75" customHeight="1">
      <c r="A62" s="403" t="s">
        <v>216</v>
      </c>
      <c r="B62" s="403"/>
      <c r="C62" s="403"/>
      <c r="D62" s="403"/>
      <c r="E62" s="403"/>
      <c r="F62" s="403"/>
      <c r="G62" s="403"/>
      <c r="H62" s="403"/>
      <c r="O62" s="404"/>
      <c r="P62" s="405"/>
      <c r="Q62" s="405"/>
      <c r="X62" s="29" t="s">
        <v>391</v>
      </c>
      <c r="Y62" s="93">
        <f>IF($E$18="K",-$D$18*10,$D$18*10)</f>
        <v>0</v>
      </c>
      <c r="AC62" s="29" t="s">
        <v>391</v>
      </c>
      <c r="AD62" s="93">
        <f>IF($H$18="K",-$G$18*10,$G$18*10)</f>
        <v>0</v>
      </c>
    </row>
    <row r="63" spans="15:30" ht="12.75" customHeight="1">
      <c r="O63" s="69"/>
      <c r="X63" s="29" t="s">
        <v>392</v>
      </c>
      <c r="Y63" s="94">
        <f>IF(Y62=0,Y31,Y62)</f>
        <v>12500</v>
      </c>
      <c r="AC63" s="29" t="s">
        <v>392</v>
      </c>
      <c r="AD63" s="94">
        <f>IF(AD62=0,AD31,AD62)</f>
        <v>12500</v>
      </c>
    </row>
    <row r="64" spans="1:17" ht="12.75">
      <c r="A64" s="95" t="s">
        <v>403</v>
      </c>
      <c r="B64" s="60"/>
      <c r="D64" s="90"/>
      <c r="G64" s="90"/>
      <c r="M64" s="393" t="s">
        <v>404</v>
      </c>
      <c r="N64" s="394"/>
      <c r="O64" s="96"/>
      <c r="P64" s="69"/>
      <c r="Q64" s="96"/>
    </row>
    <row r="65" spans="1:17" ht="12.75">
      <c r="A65" s="61"/>
      <c r="D65" s="36"/>
      <c r="E65" s="36"/>
      <c r="F65" s="36"/>
      <c r="G65" s="36"/>
      <c r="H65" s="36"/>
      <c r="J65" s="30">
        <f>IF(D65="",0,IF(E65="Annually",D65*L65,IF(E65="Monthly",D65*L65*12,D65*L65*52)))</f>
        <v>0</v>
      </c>
      <c r="K65" s="30">
        <f>IF(G65="",0,IF(H65="Annually",G65*L65,IF(H65="Monthly",G65*L65*12,G65*L65*52)))</f>
        <v>0</v>
      </c>
      <c r="L65" s="63">
        <v>1</v>
      </c>
      <c r="M65" s="395"/>
      <c r="N65" s="396"/>
      <c r="Q65" s="69"/>
    </row>
    <row r="66" spans="1:17" ht="12.75">
      <c r="A66" s="61"/>
      <c r="D66" s="36"/>
      <c r="E66" s="36"/>
      <c r="F66" s="36"/>
      <c r="G66" s="36"/>
      <c r="H66" s="36"/>
      <c r="J66" s="30">
        <f>IF(D66="",0,IF(E66="Annually",D66*L66,IF(E66="Monthly",D66*L66*12,D66*L66*52)))</f>
        <v>0</v>
      </c>
      <c r="K66" s="30">
        <f>IF(G66="",0,IF(H66="Annually",G66*L66,IF(H66="Monthly",G66*L66*12,G66*L66*52)))</f>
        <v>0</v>
      </c>
      <c r="L66" s="63">
        <v>0.5</v>
      </c>
      <c r="M66" s="395"/>
      <c r="N66" s="396"/>
      <c r="Q66" s="69"/>
    </row>
    <row r="67" spans="1:19" ht="12.75">
      <c r="A67" s="61" t="s">
        <v>43</v>
      </c>
      <c r="B67" s="63">
        <v>1</v>
      </c>
      <c r="D67" s="25">
        <v>0</v>
      </c>
      <c r="E67" s="29" t="s">
        <v>8</v>
      </c>
      <c r="G67" s="25">
        <v>0</v>
      </c>
      <c r="H67" s="29" t="s">
        <v>8</v>
      </c>
      <c r="J67" s="30">
        <f>IF(D67="",0,IF(E67="Annually",D67*B67,IF(E67="Monthly",D67*B67*12,D67*B67*52)))</f>
        <v>0</v>
      </c>
      <c r="K67" s="30">
        <f>IF(G67="",0,IF(H67="Annually",G67*B67,IF(H67="Monthly",G67*B67*12,G67*B67*52)))</f>
        <v>0</v>
      </c>
      <c r="M67" s="395"/>
      <c r="N67" s="396"/>
      <c r="P67" s="97"/>
      <c r="Q67" s="98" t="s">
        <v>411</v>
      </c>
      <c r="R67" s="99"/>
      <c r="S67" s="100"/>
    </row>
    <row r="68" spans="1:19" ht="12.75" customHeight="1">
      <c r="A68" s="61"/>
      <c r="D68" s="36"/>
      <c r="E68" s="36"/>
      <c r="F68" s="36"/>
      <c r="G68" s="36"/>
      <c r="H68" s="36"/>
      <c r="J68" s="30">
        <f aca="true" t="shared" si="3" ref="J68:J73">IF(D68="",0,IF(E68="Annually",D68*L68,IF(E68="Monthly",D68*L68*12,D68*L68*52)))</f>
        <v>0</v>
      </c>
      <c r="K68" s="30">
        <f aca="true" t="shared" si="4" ref="K68:K73">IF(G68="",0,IF(H68="Annually",G68*L68,IF(H68="Monthly",G68*L68*12,G68*L68*52)))</f>
        <v>0</v>
      </c>
      <c r="L68" s="63">
        <v>1</v>
      </c>
      <c r="M68" s="397"/>
      <c r="N68" s="398"/>
      <c r="P68" s="101"/>
      <c r="Q68" s="102"/>
      <c r="R68" s="102"/>
      <c r="S68" s="103"/>
    </row>
    <row r="69" spans="1:19" ht="12.75">
      <c r="A69" s="61"/>
      <c r="D69" s="36"/>
      <c r="E69" s="36"/>
      <c r="F69" s="36"/>
      <c r="G69" s="36"/>
      <c r="H69" s="36"/>
      <c r="J69" s="30">
        <f t="shared" si="3"/>
        <v>0</v>
      </c>
      <c r="K69" s="30">
        <f t="shared" si="4"/>
        <v>0</v>
      </c>
      <c r="L69" s="63">
        <v>0.5</v>
      </c>
      <c r="P69" s="101"/>
      <c r="Q69" s="104" t="s">
        <v>412</v>
      </c>
      <c r="R69" s="102"/>
      <c r="S69" s="105" t="s">
        <v>413</v>
      </c>
    </row>
    <row r="70" spans="1:19" ht="12.75">
      <c r="A70" s="61"/>
      <c r="D70" s="36"/>
      <c r="E70" s="36"/>
      <c r="F70" s="36"/>
      <c r="G70" s="36"/>
      <c r="H70" s="36"/>
      <c r="J70" s="30">
        <f t="shared" si="3"/>
        <v>0</v>
      </c>
      <c r="K70" s="30">
        <f t="shared" si="4"/>
        <v>0</v>
      </c>
      <c r="L70" s="63">
        <v>1</v>
      </c>
      <c r="M70" s="399" t="s">
        <v>319</v>
      </c>
      <c r="N70" s="399"/>
      <c r="P70" s="101" t="s">
        <v>414</v>
      </c>
      <c r="Q70" s="106">
        <f>O24</f>
        <v>0</v>
      </c>
      <c r="R70" s="102"/>
      <c r="S70" s="107">
        <f>Q24</f>
        <v>0</v>
      </c>
    </row>
    <row r="71" spans="1:19" ht="12.75">
      <c r="A71" s="61"/>
      <c r="D71" s="36"/>
      <c r="E71" s="36"/>
      <c r="F71" s="36"/>
      <c r="G71" s="36"/>
      <c r="H71" s="36"/>
      <c r="J71" s="30">
        <f t="shared" si="3"/>
        <v>0</v>
      </c>
      <c r="K71" s="30">
        <f t="shared" si="4"/>
        <v>0</v>
      </c>
      <c r="L71" s="63">
        <v>1</v>
      </c>
      <c r="M71" s="399"/>
      <c r="N71" s="399"/>
      <c r="P71" s="101" t="s">
        <v>415</v>
      </c>
      <c r="Q71" s="106">
        <f>SUM(O46:O47)</f>
        <v>0</v>
      </c>
      <c r="R71" s="102"/>
      <c r="S71" s="107">
        <f>SUM(Q46:Q47)</f>
        <v>0</v>
      </c>
    </row>
    <row r="72" spans="1:19" ht="12.75">
      <c r="A72" s="61"/>
      <c r="D72" s="36"/>
      <c r="E72" s="36"/>
      <c r="F72" s="36"/>
      <c r="G72" s="36"/>
      <c r="H72" s="36"/>
      <c r="J72" s="30">
        <f t="shared" si="3"/>
        <v>0</v>
      </c>
      <c r="K72" s="30">
        <f t="shared" si="4"/>
        <v>0</v>
      </c>
      <c r="L72" s="63">
        <v>1</v>
      </c>
      <c r="M72" s="399"/>
      <c r="N72" s="399"/>
      <c r="P72" s="108" t="s">
        <v>416</v>
      </c>
      <c r="Q72" s="109">
        <f>SUM(Q70-Q71)</f>
        <v>0</v>
      </c>
      <c r="R72" s="102"/>
      <c r="S72" s="110">
        <f>SUM(S70-S71)</f>
        <v>0</v>
      </c>
    </row>
    <row r="73" spans="1:19" ht="12.75">
      <c r="A73" s="61"/>
      <c r="D73" s="36"/>
      <c r="E73" s="36"/>
      <c r="F73" s="36"/>
      <c r="G73" s="36"/>
      <c r="H73" s="36"/>
      <c r="J73" s="30">
        <f t="shared" si="3"/>
        <v>0</v>
      </c>
      <c r="K73" s="30">
        <f t="shared" si="4"/>
        <v>0</v>
      </c>
      <c r="L73" s="63">
        <v>0.5</v>
      </c>
      <c r="M73" s="399"/>
      <c r="N73" s="399"/>
      <c r="P73" s="101"/>
      <c r="Q73" s="102"/>
      <c r="R73" s="102"/>
      <c r="S73" s="103"/>
    </row>
    <row r="74" spans="4:19" ht="12.75">
      <c r="D74" s="90"/>
      <c r="G74" s="90"/>
      <c r="M74" s="399"/>
      <c r="N74" s="399"/>
      <c r="P74" s="111" t="s">
        <v>396</v>
      </c>
      <c r="Q74" s="106">
        <f>O26</f>
        <v>0</v>
      </c>
      <c r="R74" s="112"/>
      <c r="S74" s="107">
        <f>Q26</f>
        <v>0</v>
      </c>
    </row>
    <row r="75" spans="1:23" ht="12.75">
      <c r="A75" s="33" t="s">
        <v>225</v>
      </c>
      <c r="D75" s="81">
        <f>SUMPRODUCT(B65:B73,D65:D73)</f>
        <v>0</v>
      </c>
      <c r="E75" s="29" t="s">
        <v>8</v>
      </c>
      <c r="F75" s="113"/>
      <c r="G75" s="81">
        <f>SUMPRODUCT(B65:B73,G65:G73)</f>
        <v>0</v>
      </c>
      <c r="H75" s="29" t="s">
        <v>8</v>
      </c>
      <c r="M75" s="399"/>
      <c r="N75" s="399"/>
      <c r="P75" s="111" t="s">
        <v>417</v>
      </c>
      <c r="Q75" s="106">
        <f>O48</f>
        <v>0</v>
      </c>
      <c r="R75" s="102"/>
      <c r="S75" s="107">
        <f>Q48</f>
        <v>0</v>
      </c>
      <c r="W75" s="29" t="s">
        <v>32</v>
      </c>
    </row>
    <row r="76" spans="4:21" ht="12.75">
      <c r="D76" s="90"/>
      <c r="G76" s="90"/>
      <c r="M76" s="399"/>
      <c r="N76" s="399"/>
      <c r="P76" s="111" t="s">
        <v>418</v>
      </c>
      <c r="Q76" s="109">
        <f>SUM(Q74-Q75)</f>
        <v>0</v>
      </c>
      <c r="R76" s="102"/>
      <c r="S76" s="110">
        <f>SUM(S74-S75)</f>
        <v>0</v>
      </c>
      <c r="U76" s="29" t="s">
        <v>32</v>
      </c>
    </row>
    <row r="77" spans="1:19" ht="12.75">
      <c r="A77" s="29" t="s">
        <v>226</v>
      </c>
      <c r="M77" s="399"/>
      <c r="N77" s="399"/>
      <c r="P77" s="101"/>
      <c r="Q77" s="102"/>
      <c r="R77" s="102"/>
      <c r="S77" s="103"/>
    </row>
    <row r="78" spans="16:19" ht="12.75">
      <c r="P78" s="114" t="s">
        <v>419</v>
      </c>
      <c r="Q78" s="115">
        <f>SUM(Q72+Q76)</f>
        <v>0</v>
      </c>
      <c r="R78" s="116"/>
      <c r="S78" s="117">
        <f>SUM(S72+S76)</f>
        <v>0</v>
      </c>
    </row>
    <row r="79" ht="12.75">
      <c r="P79" s="118"/>
    </row>
    <row r="80" spans="14:17" ht="15">
      <c r="N80" s="119" t="s">
        <v>221</v>
      </c>
      <c r="O80" s="120" t="s">
        <v>0</v>
      </c>
      <c r="P80" s="30"/>
      <c r="Q80" s="120" t="s">
        <v>1</v>
      </c>
    </row>
    <row r="81" spans="15:17" ht="12.75">
      <c r="O81" s="121">
        <f>IF(O22&lt;=Y31,0,IF(O22&lt;=Y33,Z44,IF(O22&lt;=Y34,Z45,Z46)))</f>
        <v>0</v>
      </c>
      <c r="P81" s="30"/>
      <c r="Q81" s="121">
        <f>IF(Q22&lt;=Y31,0,IF(Q22&lt;=Y33,Z44,IF(Q22&lt;=Y34,Z45,Z46)))</f>
        <v>0</v>
      </c>
    </row>
    <row r="82" spans="14:17" ht="12.75">
      <c r="N82" s="122"/>
      <c r="O82" s="30"/>
      <c r="P82" s="118"/>
      <c r="Q82" s="123"/>
    </row>
    <row r="83" spans="14:17" ht="12.75">
      <c r="N83" s="124" t="s">
        <v>331</v>
      </c>
      <c r="O83" s="121">
        <f>MAX(O81,Q81)</f>
        <v>0</v>
      </c>
      <c r="P83" s="30"/>
      <c r="Q83" s="30"/>
    </row>
    <row r="85" spans="5:6" ht="12.75">
      <c r="E85" s="125"/>
      <c r="F85" s="125"/>
    </row>
    <row r="86" spans="14:17" ht="12.75">
      <c r="N86" s="31" t="s">
        <v>354</v>
      </c>
      <c r="P86" s="65"/>
      <c r="Q86" s="123"/>
    </row>
    <row r="87" spans="14:17" ht="12.75">
      <c r="N87" s="31" t="s">
        <v>355</v>
      </c>
      <c r="O87" s="126">
        <v>0.2</v>
      </c>
      <c r="Q87" s="123"/>
    </row>
    <row r="88" spans="14:17" ht="12.75">
      <c r="N88" s="31" t="s">
        <v>356</v>
      </c>
      <c r="O88" s="126">
        <v>0.4</v>
      </c>
      <c r="Q88" s="123"/>
    </row>
    <row r="89" spans="14:15" ht="12.75">
      <c r="N89" s="31" t="s">
        <v>357</v>
      </c>
      <c r="O89" s="121">
        <v>0.45</v>
      </c>
    </row>
    <row r="90" spans="14:15" ht="12.75">
      <c r="N90" s="31" t="s">
        <v>359</v>
      </c>
      <c r="O90" s="121">
        <f>Affordability!M132</f>
        <v>0.2</v>
      </c>
    </row>
    <row r="91" ht="12.75">
      <c r="O91" s="30"/>
    </row>
    <row r="92" ht="12.75">
      <c r="O92" s="30"/>
    </row>
    <row r="93" spans="14:15" ht="12.75">
      <c r="N93" s="31" t="s">
        <v>360</v>
      </c>
      <c r="O93" s="121">
        <f>IF(O81+Q81=0,O90,O83)</f>
        <v>0.2</v>
      </c>
    </row>
    <row r="95" spans="14:18" ht="12.75">
      <c r="N95" s="31" t="str">
        <f>IF(O81+Q81=0,"Rate of tax applied to profits based on Input figure","Rate of tax applied to profits based on level of Income")</f>
        <v>Rate of tax applied to profits based on Input figure</v>
      </c>
      <c r="P95" s="127"/>
      <c r="Q95" s="30"/>
      <c r="R95" s="127"/>
    </row>
    <row r="96" ht="12.75">
      <c r="S96" s="30"/>
    </row>
    <row r="97" ht="12.75">
      <c r="S97" s="123"/>
    </row>
    <row r="99" ht="12.75">
      <c r="R99" s="65"/>
    </row>
    <row r="101" spans="16:17" ht="12.75">
      <c r="P101" s="65"/>
      <c r="Q101" s="123"/>
    </row>
    <row r="102" spans="16:17" ht="12.75">
      <c r="P102" s="65"/>
      <c r="Q102" s="123"/>
    </row>
    <row r="121" ht="12.75">
      <c r="P121" s="69"/>
    </row>
    <row r="122" ht="12.75">
      <c r="P122" s="69"/>
    </row>
    <row r="123" ht="12.75">
      <c r="P123" s="69"/>
    </row>
    <row r="124" ht="12.75">
      <c r="P124" s="69"/>
    </row>
    <row r="125" ht="12.75">
      <c r="P125" s="69"/>
    </row>
    <row r="126" ht="12.75">
      <c r="P126" s="69"/>
    </row>
    <row r="127" spans="15:16" ht="12.75">
      <c r="O127" s="47"/>
      <c r="P127" s="69"/>
    </row>
    <row r="128" spans="15:16" ht="12.75">
      <c r="O128" s="47"/>
      <c r="P128" s="69"/>
    </row>
    <row r="129" spans="15:16" ht="12.75">
      <c r="O129" s="47"/>
      <c r="P129" s="69"/>
    </row>
    <row r="130" spans="15:16" ht="12.75">
      <c r="O130" s="47"/>
      <c r="P130" s="69"/>
    </row>
    <row r="131" spans="15:16" ht="12.75">
      <c r="O131" s="69"/>
      <c r="P131" s="69"/>
    </row>
    <row r="132" spans="15:16" ht="12.75">
      <c r="O132" s="47"/>
      <c r="P132" s="69"/>
    </row>
    <row r="133" spans="15:16" ht="12.75">
      <c r="O133" s="47"/>
      <c r="P133" s="69"/>
    </row>
    <row r="135" ht="12.75">
      <c r="O135" s="47"/>
    </row>
    <row r="136" ht="12.75">
      <c r="O136" s="69"/>
    </row>
  </sheetData>
  <sheetProtection password="CC64" sheet="1"/>
  <mergeCells count="16">
    <mergeCell ref="M64:N68"/>
    <mergeCell ref="M70:N77"/>
    <mergeCell ref="A15:A16"/>
    <mergeCell ref="D15:H15"/>
    <mergeCell ref="Z28:AA28"/>
    <mergeCell ref="AE28:AF28"/>
    <mergeCell ref="A62:H62"/>
    <mergeCell ref="O62:Q62"/>
    <mergeCell ref="A2:C2"/>
    <mergeCell ref="A3:C3"/>
    <mergeCell ref="D11:E11"/>
    <mergeCell ref="G11:H11"/>
    <mergeCell ref="D13:E13"/>
    <mergeCell ref="G13:H13"/>
    <mergeCell ref="A5:C5"/>
    <mergeCell ref="A6:C6"/>
  </mergeCells>
  <dataValidations count="4">
    <dataValidation type="list" allowBlank="1" showInputMessage="1" showErrorMessage="1" sqref="H50:H52 H26:H30 E34:E38 E43:E45 H55:H56 E55:E56 H43:H45 H34:H38 E50:E52 H21:H23 E21:E23 E26:E30">
      <formula1>$S$15:$S$17</formula1>
    </dataValidation>
    <dataValidation type="list" allowBlank="1" showInputMessage="1" showErrorMessage="1" sqref="D13 G13">
      <formula1>$N$7:$N$9</formula1>
    </dataValidation>
    <dataValidation allowBlank="1" showInputMessage="1" showErrorMessage="1" error="Please enter only the numbers from the tax code" sqref="E18 H18"/>
    <dataValidation type="whole" allowBlank="1" showInputMessage="1" showErrorMessage="1" sqref="D18 G18">
      <formula1>0</formula1>
      <formula2>999999</formula2>
    </dataValidation>
  </dataValidations>
  <printOptions/>
  <pageMargins left="0.7" right="0.7" top="0.75" bottom="0.75" header="0.3" footer="0.3"/>
  <pageSetup fitToHeight="1" fitToWidth="1" horizontalDpi="600" verticalDpi="600" orientation="portrait" paperSize="9" scale="69" r:id="rId4"/>
  <drawing r:id="rId3"/>
  <legacyDrawing r:id="rId2"/>
</worksheet>
</file>

<file path=xl/worksheets/sheet2.xml><?xml version="1.0" encoding="utf-8"?>
<worksheet xmlns="http://schemas.openxmlformats.org/spreadsheetml/2006/main" xmlns:r="http://schemas.openxmlformats.org/officeDocument/2006/relationships">
  <dimension ref="A1:AY306"/>
  <sheetViews>
    <sheetView showGridLines="0" zoomScale="85" zoomScaleNormal="85" zoomScalePageLayoutView="0" workbookViewId="0" topLeftCell="A4">
      <selection activeCell="B29" sqref="B29"/>
    </sheetView>
  </sheetViews>
  <sheetFormatPr defaultColWidth="9.140625" defaultRowHeight="12.75"/>
  <cols>
    <col min="1" max="1" width="14.421875" style="130" customWidth="1"/>
    <col min="2" max="2" width="11.421875" style="130" customWidth="1"/>
    <col min="3" max="3" width="21.8515625" style="130" customWidth="1"/>
    <col min="4" max="4" width="14.7109375" style="134" customWidth="1"/>
    <col min="5" max="5" width="11.57421875" style="130" customWidth="1"/>
    <col min="6" max="6" width="9.57421875" style="129" customWidth="1"/>
    <col min="7" max="7" width="14.140625" style="129" customWidth="1"/>
    <col min="8" max="8" width="18.57421875" style="129" customWidth="1"/>
    <col min="9" max="9" width="13.57421875" style="130" customWidth="1"/>
    <col min="10" max="10" width="12.28125" style="130" customWidth="1"/>
    <col min="11" max="11" width="11.28125" style="135" hidden="1" customWidth="1"/>
    <col min="12" max="12" width="13.8515625" style="15" hidden="1" customWidth="1"/>
    <col min="13" max="13" width="9.140625" style="15" hidden="1" customWidth="1"/>
    <col min="14" max="14" width="28.28125" style="15" hidden="1" customWidth="1"/>
    <col min="15" max="15" width="13.8515625" style="15" hidden="1" customWidth="1"/>
    <col min="16" max="19" width="9.140625" style="15" hidden="1" customWidth="1"/>
    <col min="20" max="20" width="13.57421875" style="15" hidden="1" customWidth="1"/>
    <col min="21" max="21" width="5.140625" style="15" hidden="1" customWidth="1"/>
    <col min="22" max="22" width="13.421875" style="132" customWidth="1"/>
    <col min="23" max="23" width="6.28125" style="130" customWidth="1"/>
    <col min="24" max="24" width="18.8515625" style="130" customWidth="1"/>
    <col min="25" max="25" width="14.28125" style="130" bestFit="1" customWidth="1"/>
    <col min="26" max="26" width="12.28125" style="130" customWidth="1"/>
    <col min="27" max="27" width="13.421875" style="130" customWidth="1"/>
    <col min="28" max="31" width="10.57421875" style="15" hidden="1" customWidth="1"/>
    <col min="32" max="32" width="12.57421875" style="15" hidden="1" customWidth="1"/>
    <col min="33" max="33" width="25.421875" style="15" hidden="1" customWidth="1"/>
    <col min="34" max="35" width="9.140625" style="15" hidden="1" customWidth="1"/>
    <col min="36" max="36" width="18.421875" style="15" hidden="1" customWidth="1"/>
    <col min="37" max="38" width="9.140625" style="15" hidden="1" customWidth="1"/>
    <col min="39" max="39" width="18.57421875" style="15" hidden="1" customWidth="1"/>
    <col min="40" max="46" width="9.140625" style="15" hidden="1" customWidth="1"/>
    <col min="47" max="47" width="11.421875" style="15" hidden="1" customWidth="1"/>
    <col min="48" max="48" width="9.140625" style="15" hidden="1" customWidth="1"/>
    <col min="49" max="66" width="9.140625" style="130" customWidth="1"/>
    <col min="67" max="16384" width="9.140625" style="130" customWidth="1"/>
  </cols>
  <sheetData>
    <row r="1" spans="1:11" ht="12.75">
      <c r="A1" s="443" t="s">
        <v>17</v>
      </c>
      <c r="B1" s="443"/>
      <c r="C1" s="443"/>
      <c r="D1" s="443"/>
      <c r="E1" s="443"/>
      <c r="F1" s="443"/>
      <c r="K1" s="131" t="s">
        <v>6</v>
      </c>
    </row>
    <row r="2" spans="1:11" ht="12.75">
      <c r="A2" s="133" t="s">
        <v>25</v>
      </c>
      <c r="B2" s="10"/>
      <c r="C2" s="128"/>
      <c r="D2" s="128"/>
      <c r="E2" s="432" t="s">
        <v>464</v>
      </c>
      <c r="F2" s="432"/>
      <c r="G2" s="432"/>
      <c r="H2" s="432"/>
      <c r="I2" s="432"/>
      <c r="J2" s="432"/>
      <c r="K2" s="131" t="s">
        <v>8</v>
      </c>
    </row>
    <row r="3" ht="12.75">
      <c r="K3" s="131" t="s">
        <v>14</v>
      </c>
    </row>
    <row r="4" spans="1:24" ht="15">
      <c r="A4" s="387" t="s">
        <v>18</v>
      </c>
      <c r="B4" s="388"/>
      <c r="C4" s="389"/>
      <c r="E4" s="387" t="s">
        <v>19</v>
      </c>
      <c r="F4" s="389"/>
      <c r="M4" s="15" t="s">
        <v>102</v>
      </c>
      <c r="X4" s="136"/>
    </row>
    <row r="5" spans="1:11" ht="12.75">
      <c r="A5" s="390"/>
      <c r="B5" s="391"/>
      <c r="C5" s="392"/>
      <c r="E5" s="409"/>
      <c r="F5" s="410"/>
      <c r="K5" s="137">
        <v>1E-06</v>
      </c>
    </row>
    <row r="6" ht="12.75">
      <c r="K6" s="138">
        <v>0.1</v>
      </c>
    </row>
    <row r="7" spans="1:46" ht="12.75">
      <c r="A7" s="12" t="s">
        <v>425</v>
      </c>
      <c r="E7" s="12" t="s">
        <v>424</v>
      </c>
      <c r="L7" s="139"/>
      <c r="Q7" s="140"/>
      <c r="R7" s="140"/>
      <c r="S7" s="140"/>
      <c r="T7" s="446"/>
      <c r="U7" s="446"/>
      <c r="AF7" s="141"/>
      <c r="AL7" s="142"/>
      <c r="AM7" s="142"/>
      <c r="AN7" s="142"/>
      <c r="AO7" s="142"/>
      <c r="AP7" s="142"/>
      <c r="AQ7" s="142"/>
      <c r="AR7" s="142"/>
      <c r="AS7" s="142"/>
      <c r="AT7" s="142"/>
    </row>
    <row r="8" spans="8:32" ht="12.75">
      <c r="H8" s="143" t="s">
        <v>32</v>
      </c>
      <c r="L8" s="139"/>
      <c r="U8" s="144"/>
      <c r="AF8" s="145"/>
    </row>
    <row r="9" spans="1:32" ht="12.75">
      <c r="A9" s="12" t="s">
        <v>20</v>
      </c>
      <c r="F9" s="129" t="s">
        <v>5</v>
      </c>
      <c r="I9" s="19" t="s">
        <v>32</v>
      </c>
      <c r="K9" s="131" t="s">
        <v>6</v>
      </c>
      <c r="L9" s="139"/>
      <c r="AF9" s="146"/>
    </row>
    <row r="10" spans="11:32" ht="12.75">
      <c r="K10" s="131" t="s">
        <v>7</v>
      </c>
      <c r="L10" s="139"/>
      <c r="AF10" s="146"/>
    </row>
    <row r="11" spans="1:42" ht="12.75">
      <c r="A11" s="130" t="s">
        <v>15</v>
      </c>
      <c r="B11" s="130" t="s">
        <v>0</v>
      </c>
      <c r="C11" s="147">
        <f>Income!D60</f>
        <v>0</v>
      </c>
      <c r="F11" s="148" t="str">
        <f>Income!E60</f>
        <v>Monthly</v>
      </c>
      <c r="K11" s="149">
        <f>IF(F11=$K$2,C11*12,IF(F11=$K$3,C11*52,C11))</f>
        <v>0</v>
      </c>
      <c r="L11" s="150" t="s">
        <v>100</v>
      </c>
      <c r="AF11" s="146"/>
      <c r="AJ11" s="349" t="s">
        <v>459</v>
      </c>
      <c r="AK11" s="350"/>
      <c r="AL11" s="350"/>
      <c r="AM11" s="350"/>
      <c r="AN11" s="152"/>
      <c r="AO11" s="152"/>
      <c r="AP11" s="152"/>
    </row>
    <row r="12" spans="2:34" ht="12.75">
      <c r="B12" s="130" t="s">
        <v>1</v>
      </c>
      <c r="C12" s="147">
        <f>Income!G60</f>
        <v>0</v>
      </c>
      <c r="F12" s="148" t="str">
        <f>Income!H60</f>
        <v>Monthly</v>
      </c>
      <c r="K12" s="149">
        <f>IF(F12=$K$2,C12*12,IF(F12=$K$3,C12*52,C12))</f>
        <v>0</v>
      </c>
      <c r="L12" s="150" t="s">
        <v>101</v>
      </c>
      <c r="AF12" s="145"/>
      <c r="AG12" s="15" t="s">
        <v>146</v>
      </c>
      <c r="AH12" s="140">
        <f>IF(D23&gt;0,0,COUNTIF(P19:P20,"Yes"))</f>
        <v>0</v>
      </c>
    </row>
    <row r="13" spans="2:47" ht="15">
      <c r="B13" s="130" t="s">
        <v>3</v>
      </c>
      <c r="D13" s="153">
        <f>C11+C12</f>
        <v>0</v>
      </c>
      <c r="F13" s="132"/>
      <c r="H13" s="154"/>
      <c r="K13" s="149"/>
      <c r="L13" s="139"/>
      <c r="AF13" s="141"/>
      <c r="AG13" s="155" t="s">
        <v>147</v>
      </c>
      <c r="AH13" s="140">
        <f>D22-AH12</f>
        <v>2</v>
      </c>
      <c r="AI13" s="140"/>
      <c r="AJ13" s="156" t="s">
        <v>58</v>
      </c>
      <c r="AK13" s="157"/>
      <c r="AL13" s="158" t="s">
        <v>59</v>
      </c>
      <c r="AM13" s="159" t="s">
        <v>60</v>
      </c>
      <c r="AN13" s="159" t="s">
        <v>61</v>
      </c>
      <c r="AO13" s="159" t="s">
        <v>62</v>
      </c>
      <c r="AP13" s="159" t="s">
        <v>63</v>
      </c>
      <c r="AQ13" s="159" t="s">
        <v>33</v>
      </c>
      <c r="AR13" s="159" t="s">
        <v>64</v>
      </c>
      <c r="AS13" s="158" t="s">
        <v>65</v>
      </c>
      <c r="AT13" s="159" t="s">
        <v>113</v>
      </c>
      <c r="AU13" s="160" t="s">
        <v>3</v>
      </c>
    </row>
    <row r="14" spans="1:46" ht="12.75" customHeight="1">
      <c r="A14" s="19"/>
      <c r="H14" s="154"/>
      <c r="J14" s="130" t="s">
        <v>32</v>
      </c>
      <c r="K14" s="149">
        <f>IF(N14=$K$2,M14*12,IF(N14=$K$3,M14*52,M14))</f>
        <v>0</v>
      </c>
      <c r="L14" s="161" t="s">
        <v>233</v>
      </c>
      <c r="M14" s="147">
        <f>(Income!D71+Income!G71)</f>
        <v>0</v>
      </c>
      <c r="N14" s="148" t="s">
        <v>8</v>
      </c>
      <c r="AG14" s="155"/>
      <c r="AH14" s="140"/>
      <c r="AI14" s="140"/>
      <c r="AJ14" s="162"/>
      <c r="AK14" s="163"/>
      <c r="AL14" s="164" t="s">
        <v>66</v>
      </c>
      <c r="AM14" s="157"/>
      <c r="AN14" s="157"/>
      <c r="AO14" s="157"/>
      <c r="AP14" s="157"/>
      <c r="AQ14" s="157"/>
      <c r="AR14" s="157"/>
      <c r="AS14" s="165"/>
      <c r="AT14" s="157" t="s">
        <v>114</v>
      </c>
    </row>
    <row r="15" spans="8:46" ht="12.75" customHeight="1">
      <c r="H15" s="154"/>
      <c r="K15" s="149">
        <f>IF(N15=$K$2,M15*12,IF(N15=$K$3,M15*52,M15))</f>
        <v>0</v>
      </c>
      <c r="L15" s="161" t="s">
        <v>232</v>
      </c>
      <c r="M15" s="147">
        <f>(Income!D70+Income!G70)</f>
        <v>0</v>
      </c>
      <c r="N15" s="148" t="s">
        <v>8</v>
      </c>
      <c r="AG15" s="155" t="str">
        <f>IF(AH13=0,AH12&amp;" retired adult, no children",IF(D22=1,"1 adult, ","2 adults, ")&amp;IF(D23=1,"1 child",D23&amp;" children"))</f>
        <v>2 adults, 0 children</v>
      </c>
      <c r="AH15" s="140" t="str">
        <f>VLOOKUP(AG15,$AG$18:$AH$26,2)</f>
        <v>B</v>
      </c>
      <c r="AI15" s="140"/>
      <c r="AJ15" s="162"/>
      <c r="AK15" s="163"/>
      <c r="AL15" s="166"/>
      <c r="AM15" s="166"/>
      <c r="AN15" s="166"/>
      <c r="AO15" s="166"/>
      <c r="AP15" s="166"/>
      <c r="AQ15" s="166"/>
      <c r="AR15" s="157"/>
      <c r="AS15" s="165"/>
      <c r="AT15" s="157"/>
    </row>
    <row r="16" spans="1:46" ht="12.75" customHeight="1">
      <c r="A16" s="167" t="s">
        <v>442</v>
      </c>
      <c r="H16" s="154"/>
      <c r="K16" s="149">
        <f>IF(N16=$K$2,M16*12,IF(N16=$K$3,M16*52,M16))</f>
        <v>0</v>
      </c>
      <c r="L16" s="161" t="s">
        <v>231</v>
      </c>
      <c r="M16" s="147">
        <f>((Income!D69+Income!G69)*Income!L69)+((Income!D68+Income!G68)*Income!L68)</f>
        <v>0</v>
      </c>
      <c r="N16" s="148" t="s">
        <v>8</v>
      </c>
      <c r="AG16" s="140"/>
      <c r="AH16" s="140"/>
      <c r="AI16" s="140"/>
      <c r="AJ16" s="168" t="s">
        <v>14</v>
      </c>
      <c r="AK16" s="163"/>
      <c r="AL16" s="351"/>
      <c r="AM16" s="352"/>
      <c r="AN16" s="353"/>
      <c r="AO16" s="353"/>
      <c r="AP16" s="353"/>
      <c r="AQ16" s="353"/>
      <c r="AR16" s="353"/>
      <c r="AS16" s="354"/>
      <c r="AT16" s="355"/>
    </row>
    <row r="17" spans="8:47" ht="12.75" customHeight="1">
      <c r="H17" s="154"/>
      <c r="K17" s="149">
        <f>IF(N17=$K$2,M17*12,IF(N17=$K$3,M17*52,M17))</f>
        <v>0</v>
      </c>
      <c r="L17" s="161" t="s">
        <v>229</v>
      </c>
      <c r="M17" s="147">
        <f>((Income!D65+Income!G65)*Income!L65)+((Income!D66+Income!G66)*Income!L66)</f>
        <v>0</v>
      </c>
      <c r="N17" s="148" t="s">
        <v>8</v>
      </c>
      <c r="AG17" s="169" t="s">
        <v>71</v>
      </c>
      <c r="AH17" s="170"/>
      <c r="AI17" s="140"/>
      <c r="AJ17" s="171" t="s">
        <v>72</v>
      </c>
      <c r="AK17" s="159" t="s">
        <v>73</v>
      </c>
      <c r="AL17" s="356">
        <v>70.3</v>
      </c>
      <c r="AM17" s="357">
        <v>11.6</v>
      </c>
      <c r="AN17" s="358">
        <v>5.5</v>
      </c>
      <c r="AO17" s="358">
        <v>31.4</v>
      </c>
      <c r="AP17" s="358">
        <v>9.3</v>
      </c>
      <c r="AQ17" s="358">
        <v>9.8</v>
      </c>
      <c r="AR17" s="358">
        <v>41.5</v>
      </c>
      <c r="AS17" s="359">
        <v>45.3</v>
      </c>
      <c r="AT17" s="360">
        <v>26.9</v>
      </c>
      <c r="AU17" s="172">
        <f>SUM(AL17:AT17)</f>
        <v>251.6</v>
      </c>
    </row>
    <row r="18" spans="1:47" ht="12.75" customHeight="1">
      <c r="A18" s="173" t="s">
        <v>149</v>
      </c>
      <c r="D18" s="147">
        <f>Income!D67+Income!G67</f>
        <v>0</v>
      </c>
      <c r="F18" s="148" t="s">
        <v>8</v>
      </c>
      <c r="H18" s="154"/>
      <c r="K18" s="149">
        <f>IF(F18=$K$2,D18*12,IF(F18=$K$3,D18*52,D18))</f>
        <v>0</v>
      </c>
      <c r="L18" s="161" t="s">
        <v>230</v>
      </c>
      <c r="AF18" s="141"/>
      <c r="AG18" s="155" t="s">
        <v>74</v>
      </c>
      <c r="AH18" s="140" t="s">
        <v>73</v>
      </c>
      <c r="AI18" s="140"/>
      <c r="AJ18" s="171" t="s">
        <v>75</v>
      </c>
      <c r="AK18" s="162" t="s">
        <v>13</v>
      </c>
      <c r="AL18" s="356">
        <v>84.1</v>
      </c>
      <c r="AM18" s="357">
        <v>19.6</v>
      </c>
      <c r="AN18" s="358">
        <v>7.2</v>
      </c>
      <c r="AO18" s="358">
        <v>61</v>
      </c>
      <c r="AP18" s="358">
        <v>15.2</v>
      </c>
      <c r="AQ18" s="358">
        <v>25.1</v>
      </c>
      <c r="AR18" s="358">
        <v>87</v>
      </c>
      <c r="AS18" s="359">
        <v>97.4</v>
      </c>
      <c r="AT18" s="360">
        <v>49.7</v>
      </c>
      <c r="AU18" s="172">
        <f>SUM(AL18:AT18)</f>
        <v>446.2999999999999</v>
      </c>
    </row>
    <row r="19" spans="1:47" ht="12.75" customHeight="1">
      <c r="A19" s="19"/>
      <c r="H19" s="154"/>
      <c r="K19" s="149">
        <f>IF(N19=$K$2,M19*12,IF(N19=$K$3,M19*52,M19))</f>
        <v>0</v>
      </c>
      <c r="L19" s="16" t="s">
        <v>234</v>
      </c>
      <c r="M19" s="147">
        <f>((Income!D72+Income!G72)+(Income!D73+Income!G73)*Income!L73)</f>
        <v>0</v>
      </c>
      <c r="N19" s="148" t="s">
        <v>8</v>
      </c>
      <c r="O19" s="174" t="s">
        <v>138</v>
      </c>
      <c r="P19" s="175" t="str">
        <f>Income!D13</f>
        <v>No</v>
      </c>
      <c r="R19" s="16" t="s">
        <v>32</v>
      </c>
      <c r="AG19" s="155" t="s">
        <v>68</v>
      </c>
      <c r="AH19" s="140" t="s">
        <v>69</v>
      </c>
      <c r="AI19" s="140"/>
      <c r="AJ19" s="171" t="s">
        <v>76</v>
      </c>
      <c r="AK19" s="162" t="s">
        <v>69</v>
      </c>
      <c r="AL19" s="356">
        <v>85.2</v>
      </c>
      <c r="AM19" s="357">
        <v>14.8</v>
      </c>
      <c r="AN19" s="358">
        <v>1.3</v>
      </c>
      <c r="AO19" s="358">
        <v>40.5</v>
      </c>
      <c r="AP19" s="358">
        <v>4.7</v>
      </c>
      <c r="AQ19" s="358">
        <v>17.9</v>
      </c>
      <c r="AR19" s="358">
        <v>38.4</v>
      </c>
      <c r="AS19" s="359">
        <v>44.7</v>
      </c>
      <c r="AT19" s="360">
        <v>35.6</v>
      </c>
      <c r="AU19" s="172">
        <f aca="true" t="shared" si="0" ref="AU19:AU25">SUM(AL19:AT19)</f>
        <v>283.1</v>
      </c>
    </row>
    <row r="20" spans="1:47" ht="12.75" customHeight="1">
      <c r="A20" s="12" t="s">
        <v>92</v>
      </c>
      <c r="O20" s="176" t="s">
        <v>139</v>
      </c>
      <c r="P20" s="177" t="str">
        <f>Income!G13</f>
        <v>No</v>
      </c>
      <c r="V20" s="178"/>
      <c r="W20" s="179"/>
      <c r="X20" s="179"/>
      <c r="Y20" s="179"/>
      <c r="AG20" s="155" t="s">
        <v>77</v>
      </c>
      <c r="AH20" s="140" t="s">
        <v>78</v>
      </c>
      <c r="AI20" s="140"/>
      <c r="AJ20" s="171" t="s">
        <v>79</v>
      </c>
      <c r="AK20" s="162" t="s">
        <v>78</v>
      </c>
      <c r="AL20" s="356">
        <v>63.3</v>
      </c>
      <c r="AM20" s="357">
        <v>15.5</v>
      </c>
      <c r="AN20" s="358">
        <v>4.2</v>
      </c>
      <c r="AO20" s="358">
        <v>57.1</v>
      </c>
      <c r="AP20" s="358">
        <v>7.1</v>
      </c>
      <c r="AQ20" s="358">
        <v>25.2</v>
      </c>
      <c r="AR20" s="358">
        <v>48.7</v>
      </c>
      <c r="AS20" s="359">
        <v>40.6</v>
      </c>
      <c r="AT20" s="360">
        <v>23.5</v>
      </c>
      <c r="AU20" s="172">
        <f t="shared" si="0"/>
        <v>285.2</v>
      </c>
    </row>
    <row r="21" spans="11:47" ht="12.75">
      <c r="K21" s="149"/>
      <c r="V21" s="179"/>
      <c r="W21" s="179"/>
      <c r="X21" s="179"/>
      <c r="Y21" s="179"/>
      <c r="AG21" s="155" t="s">
        <v>142</v>
      </c>
      <c r="AH21" s="159" t="s">
        <v>144</v>
      </c>
      <c r="AI21" s="140"/>
      <c r="AJ21" s="171" t="s">
        <v>82</v>
      </c>
      <c r="AK21" s="162" t="s">
        <v>83</v>
      </c>
      <c r="AL21" s="356">
        <v>86</v>
      </c>
      <c r="AM21" s="357">
        <v>21.3</v>
      </c>
      <c r="AN21" s="358">
        <v>5.4</v>
      </c>
      <c r="AO21" s="358">
        <v>69.7</v>
      </c>
      <c r="AP21" s="358">
        <v>11.3</v>
      </c>
      <c r="AQ21" s="358">
        <v>26.7</v>
      </c>
      <c r="AR21" s="358">
        <v>68</v>
      </c>
      <c r="AS21" s="359">
        <v>94.4</v>
      </c>
      <c r="AT21" s="360">
        <v>53.4</v>
      </c>
      <c r="AU21" s="172">
        <f t="shared" si="0"/>
        <v>436.19999999999993</v>
      </c>
    </row>
    <row r="22" spans="1:47" ht="12.75" customHeight="1">
      <c r="A22" s="130" t="s">
        <v>67</v>
      </c>
      <c r="D22" s="3">
        <v>2</v>
      </c>
      <c r="F22" s="447" t="s">
        <v>426</v>
      </c>
      <c r="G22" s="448"/>
      <c r="H22" s="448"/>
      <c r="I22" s="449"/>
      <c r="J22" s="130" t="s">
        <v>32</v>
      </c>
      <c r="K22" s="149"/>
      <c r="M22" s="180"/>
      <c r="N22" s="181"/>
      <c r="O22" s="181"/>
      <c r="P22" s="182"/>
      <c r="R22" s="183"/>
      <c r="S22" s="184" t="s">
        <v>222</v>
      </c>
      <c r="T22" s="139"/>
      <c r="V22" s="179"/>
      <c r="W22" s="179"/>
      <c r="X22" s="179"/>
      <c r="Y22" s="179"/>
      <c r="AG22" s="155" t="s">
        <v>81</v>
      </c>
      <c r="AH22" s="140" t="s">
        <v>13</v>
      </c>
      <c r="AI22" s="140"/>
      <c r="AJ22" s="171" t="s">
        <v>85</v>
      </c>
      <c r="AK22" s="162" t="s">
        <v>86</v>
      </c>
      <c r="AL22" s="356">
        <v>89.2</v>
      </c>
      <c r="AM22" s="357">
        <v>22.6</v>
      </c>
      <c r="AN22" s="358">
        <v>6</v>
      </c>
      <c r="AO22" s="358">
        <v>84</v>
      </c>
      <c r="AP22" s="358">
        <v>12.3</v>
      </c>
      <c r="AQ22" s="358">
        <v>44.2</v>
      </c>
      <c r="AR22" s="358">
        <v>105</v>
      </c>
      <c r="AS22" s="359">
        <v>119.5</v>
      </c>
      <c r="AT22" s="360">
        <v>47.2</v>
      </c>
      <c r="AU22" s="172">
        <f t="shared" si="0"/>
        <v>530</v>
      </c>
    </row>
    <row r="23" spans="1:47" ht="12.75">
      <c r="A23" s="130" t="s">
        <v>70</v>
      </c>
      <c r="D23" s="3">
        <v>0</v>
      </c>
      <c r="F23" s="450"/>
      <c r="G23" s="451"/>
      <c r="H23" s="451"/>
      <c r="I23" s="452"/>
      <c r="K23" s="185" t="s">
        <v>6</v>
      </c>
      <c r="M23" s="186"/>
      <c r="N23" s="187" t="s">
        <v>427</v>
      </c>
      <c r="O23" s="187"/>
      <c r="P23" s="188"/>
      <c r="R23" s="186"/>
      <c r="S23" s="189">
        <f>IF(P19="Yes",1,IF(P19="N/A",0,IF(P19="No",0)))</f>
        <v>0</v>
      </c>
      <c r="T23" s="139"/>
      <c r="V23" s="179"/>
      <c r="W23" s="179"/>
      <c r="X23" s="179"/>
      <c r="Y23" s="179"/>
      <c r="AG23" s="155" t="s">
        <v>84</v>
      </c>
      <c r="AH23" s="140" t="s">
        <v>83</v>
      </c>
      <c r="AI23" s="140"/>
      <c r="AJ23" s="171" t="s">
        <v>89</v>
      </c>
      <c r="AK23" s="159" t="s">
        <v>90</v>
      </c>
      <c r="AL23" s="356">
        <v>100.6</v>
      </c>
      <c r="AM23" s="357">
        <v>23.8</v>
      </c>
      <c r="AN23" s="358">
        <v>6.7</v>
      </c>
      <c r="AO23" s="358">
        <v>89.5</v>
      </c>
      <c r="AP23" s="358">
        <v>13.4</v>
      </c>
      <c r="AQ23" s="358">
        <v>35.2</v>
      </c>
      <c r="AR23" s="358">
        <v>91.9</v>
      </c>
      <c r="AS23" s="359">
        <v>94.3</v>
      </c>
      <c r="AT23" s="360">
        <v>51.3</v>
      </c>
      <c r="AU23" s="172">
        <f t="shared" si="0"/>
        <v>506.70000000000005</v>
      </c>
    </row>
    <row r="24" spans="11:47" ht="12.75">
      <c r="K24" s="185" t="s">
        <v>24</v>
      </c>
      <c r="M24" s="186"/>
      <c r="N24" s="187" t="s">
        <v>428</v>
      </c>
      <c r="O24" s="187"/>
      <c r="P24" s="188">
        <f>IF(Income!D13="Yes",1,IF(Income!D13="No",1,IF(Income!D13="N/a",0)))</f>
        <v>1</v>
      </c>
      <c r="R24" s="186"/>
      <c r="S24" s="189">
        <f>IF(P20="Yes",1,IF(P20="N/A",0,IF(P20="No",0)))</f>
        <v>0</v>
      </c>
      <c r="T24" s="139"/>
      <c r="V24" s="179"/>
      <c r="W24" s="179"/>
      <c r="X24" s="179"/>
      <c r="Y24" s="179"/>
      <c r="AG24" s="155" t="s">
        <v>88</v>
      </c>
      <c r="AH24" s="140" t="s">
        <v>86</v>
      </c>
      <c r="AI24" s="140"/>
      <c r="AJ24" s="155" t="s">
        <v>142</v>
      </c>
      <c r="AK24" s="159" t="s">
        <v>144</v>
      </c>
      <c r="AL24" s="356">
        <v>41.5</v>
      </c>
      <c r="AM24" s="357">
        <v>9.5</v>
      </c>
      <c r="AN24" s="358">
        <v>3.5</v>
      </c>
      <c r="AO24" s="358">
        <v>33.7</v>
      </c>
      <c r="AP24" s="357">
        <v>6</v>
      </c>
      <c r="AQ24" s="358">
        <v>7.3</v>
      </c>
      <c r="AR24" s="358">
        <v>39</v>
      </c>
      <c r="AS24" s="359">
        <v>23.3</v>
      </c>
      <c r="AT24" s="360">
        <v>22.5</v>
      </c>
      <c r="AU24" s="172">
        <f t="shared" si="0"/>
        <v>186.3</v>
      </c>
    </row>
    <row r="25" spans="3:47" ht="12.75">
      <c r="C25" s="190" t="str">
        <f>IF(S25=2,Q31,Q32)</f>
        <v>*Below the state retirement age - see Income tab</v>
      </c>
      <c r="F25" s="191"/>
      <c r="K25" s="185" t="s">
        <v>8</v>
      </c>
      <c r="M25" s="186"/>
      <c r="N25" s="187" t="s">
        <v>429</v>
      </c>
      <c r="O25" s="187"/>
      <c r="P25" s="188">
        <f>IF(Income!G13="Yes",1,IF(Income!G13="No",1,IF(Income!G13="N/a",0)))</f>
        <v>1</v>
      </c>
      <c r="R25" s="192"/>
      <c r="S25" s="193">
        <f>IF(S23+S24&gt;=1,2,0)</f>
        <v>0</v>
      </c>
      <c r="T25" s="139"/>
      <c r="V25" s="179"/>
      <c r="W25" s="179"/>
      <c r="X25" s="179"/>
      <c r="Y25" s="179"/>
      <c r="AG25" s="155" t="s">
        <v>91</v>
      </c>
      <c r="AH25" s="140" t="s">
        <v>90</v>
      </c>
      <c r="AI25" s="171"/>
      <c r="AJ25" s="155" t="s">
        <v>143</v>
      </c>
      <c r="AK25" s="159" t="s">
        <v>145</v>
      </c>
      <c r="AL25" s="356">
        <v>53.3</v>
      </c>
      <c r="AM25" s="357">
        <v>14.6</v>
      </c>
      <c r="AN25" s="358">
        <v>11.8</v>
      </c>
      <c r="AO25" s="358">
        <v>64.6</v>
      </c>
      <c r="AP25" s="357">
        <v>14</v>
      </c>
      <c r="AQ25" s="358">
        <v>19</v>
      </c>
      <c r="AR25" s="358">
        <v>92.6</v>
      </c>
      <c r="AS25" s="359">
        <v>66.6</v>
      </c>
      <c r="AT25" s="360">
        <v>39</v>
      </c>
      <c r="AU25" s="172">
        <f t="shared" si="0"/>
        <v>375.5</v>
      </c>
    </row>
    <row r="26" spans="1:46" ht="12.75">
      <c r="A26" s="12" t="s">
        <v>26</v>
      </c>
      <c r="F26" s="191"/>
      <c r="H26" s="436" t="s">
        <v>457</v>
      </c>
      <c r="I26" s="436"/>
      <c r="M26" s="186"/>
      <c r="N26" s="187" t="s">
        <v>430</v>
      </c>
      <c r="O26" s="187"/>
      <c r="P26" s="188">
        <f>SUM(P24:P25)</f>
        <v>2</v>
      </c>
      <c r="R26" s="139"/>
      <c r="S26" s="139"/>
      <c r="T26" s="139"/>
      <c r="AG26" s="155" t="s">
        <v>143</v>
      </c>
      <c r="AH26" s="162" t="s">
        <v>145</v>
      </c>
      <c r="AI26" s="171"/>
      <c r="AJ26" s="157"/>
      <c r="AK26" s="157"/>
      <c r="AL26" s="361"/>
      <c r="AM26" s="362"/>
      <c r="AN26" s="362"/>
      <c r="AO26" s="362"/>
      <c r="AP26" s="362"/>
      <c r="AQ26" s="362"/>
      <c r="AR26" s="363"/>
      <c r="AS26" s="364"/>
      <c r="AT26" s="365"/>
    </row>
    <row r="27" spans="1:46" ht="12.75">
      <c r="A27" s="19" t="s">
        <v>121</v>
      </c>
      <c r="D27" s="1">
        <v>0</v>
      </c>
      <c r="F27" s="148" t="s">
        <v>8</v>
      </c>
      <c r="H27" s="453" t="str">
        <f>LOOKUP(AH15,AH30:AH38,AG30:AG38)</f>
        <v>2 adults, no children</v>
      </c>
      <c r="I27" s="454"/>
      <c r="K27" s="149">
        <f aca="true" t="shared" si="1" ref="K27:K33">IF(F27=$K$2,D27*12,IF(F27=$K$3,D27*52,D27))</f>
        <v>0</v>
      </c>
      <c r="M27" s="186"/>
      <c r="N27" s="187" t="s">
        <v>431</v>
      </c>
      <c r="O27" s="187"/>
      <c r="P27" s="188">
        <f>D22</f>
        <v>2</v>
      </c>
      <c r="AG27" s="155"/>
      <c r="AH27" s="140"/>
      <c r="AI27" s="140"/>
      <c r="AJ27" s="171"/>
      <c r="AK27" s="157"/>
      <c r="AL27" s="165"/>
      <c r="AM27" s="157"/>
      <c r="AN27" s="157"/>
      <c r="AO27" s="157"/>
      <c r="AP27" s="157"/>
      <c r="AQ27" s="157"/>
      <c r="AR27" s="157"/>
      <c r="AS27" s="165"/>
      <c r="AT27" s="157"/>
    </row>
    <row r="28" spans="1:46" ht="12.75">
      <c r="A28" s="19" t="s">
        <v>27</v>
      </c>
      <c r="D28" s="1">
        <v>0</v>
      </c>
      <c r="E28" s="130" t="s">
        <v>321</v>
      </c>
      <c r="F28" s="148" t="s">
        <v>8</v>
      </c>
      <c r="H28" s="154"/>
      <c r="K28" s="149">
        <f t="shared" si="1"/>
        <v>0</v>
      </c>
      <c r="M28" s="192"/>
      <c r="N28" s="195"/>
      <c r="O28" s="195"/>
      <c r="P28" s="193"/>
      <c r="AG28" s="155"/>
      <c r="AH28" s="140"/>
      <c r="AI28" s="140"/>
      <c r="AJ28" s="171"/>
      <c r="AK28" s="157"/>
      <c r="AL28" s="165"/>
      <c r="AM28" s="157"/>
      <c r="AN28" s="157"/>
      <c r="AO28" s="157"/>
      <c r="AP28" s="157"/>
      <c r="AQ28" s="157"/>
      <c r="AR28" s="157"/>
      <c r="AS28" s="165"/>
      <c r="AT28" s="157"/>
    </row>
    <row r="29" spans="1:46" ht="12.75">
      <c r="A29" s="19" t="s">
        <v>9</v>
      </c>
      <c r="D29" s="147">
        <f>H32*I32</f>
        <v>0</v>
      </c>
      <c r="F29" s="148" t="s">
        <v>8</v>
      </c>
      <c r="H29" s="154"/>
      <c r="K29" s="149">
        <f t="shared" si="1"/>
        <v>0</v>
      </c>
      <c r="AG29" s="430" t="s">
        <v>405</v>
      </c>
      <c r="AH29" s="431"/>
      <c r="AI29" s="140"/>
      <c r="AJ29" s="196" t="s">
        <v>8</v>
      </c>
      <c r="AK29" s="157"/>
      <c r="AL29" s="165"/>
      <c r="AM29" s="157"/>
      <c r="AN29" s="157"/>
      <c r="AO29" s="157"/>
      <c r="AP29" s="157"/>
      <c r="AQ29" s="157"/>
      <c r="AR29" s="157"/>
      <c r="AS29" s="165"/>
      <c r="AT29" s="157"/>
    </row>
    <row r="30" spans="1:47" ht="12.75" customHeight="1">
      <c r="A30" s="19" t="s">
        <v>2</v>
      </c>
      <c r="D30" s="1">
        <v>0</v>
      </c>
      <c r="F30" s="148" t="s">
        <v>8</v>
      </c>
      <c r="H30" s="444" t="s">
        <v>10</v>
      </c>
      <c r="I30" s="445"/>
      <c r="K30" s="149">
        <f t="shared" si="1"/>
        <v>0</v>
      </c>
      <c r="AG30" s="197" t="s">
        <v>406</v>
      </c>
      <c r="AH30" s="198" t="s">
        <v>73</v>
      </c>
      <c r="AI30" s="140"/>
      <c r="AJ30" s="171" t="s">
        <v>72</v>
      </c>
      <c r="AK30" s="159" t="s">
        <v>73</v>
      </c>
      <c r="AL30" s="199">
        <f aca="true" t="shared" si="2" ref="AL30:AT30">AL17*4.333333333333</f>
        <v>304.6333333333099</v>
      </c>
      <c r="AM30" s="200">
        <f t="shared" si="2"/>
        <v>50.2666666666628</v>
      </c>
      <c r="AN30" s="200">
        <f t="shared" si="2"/>
        <v>23.8333333333315</v>
      </c>
      <c r="AO30" s="200">
        <f t="shared" si="2"/>
        <v>136.0666666666562</v>
      </c>
      <c r="AP30" s="200">
        <f t="shared" si="2"/>
        <v>40.299999999996906</v>
      </c>
      <c r="AQ30" s="200">
        <f t="shared" si="2"/>
        <v>42.4666666666634</v>
      </c>
      <c r="AR30" s="200">
        <f t="shared" si="2"/>
        <v>179.8333333333195</v>
      </c>
      <c r="AS30" s="199">
        <f t="shared" si="2"/>
        <v>196.2999999999849</v>
      </c>
      <c r="AT30" s="200">
        <f t="shared" si="2"/>
        <v>116.5666666666577</v>
      </c>
      <c r="AU30" s="172">
        <f>SUM(AL30:AT30)</f>
        <v>1090.2666666665828</v>
      </c>
    </row>
    <row r="31" spans="1:47" ht="12.75">
      <c r="A31" s="19"/>
      <c r="D31" s="201"/>
      <c r="F31" s="202"/>
      <c r="H31" s="203" t="s">
        <v>11</v>
      </c>
      <c r="I31" s="204" t="s">
        <v>12</v>
      </c>
      <c r="K31" s="149">
        <f t="shared" si="1"/>
        <v>0</v>
      </c>
      <c r="Q31" s="16" t="s">
        <v>432</v>
      </c>
      <c r="AG31" s="197" t="s">
        <v>407</v>
      </c>
      <c r="AH31" s="198" t="s">
        <v>13</v>
      </c>
      <c r="AI31" s="140"/>
      <c r="AJ31" s="171" t="s">
        <v>75</v>
      </c>
      <c r="AK31" s="162" t="s">
        <v>13</v>
      </c>
      <c r="AL31" s="199">
        <f aca="true" t="shared" si="3" ref="AL31:AT31">AL18*4.333333333333</f>
        <v>364.43333333330526</v>
      </c>
      <c r="AM31" s="200">
        <f t="shared" si="3"/>
        <v>84.9333333333268</v>
      </c>
      <c r="AN31" s="200">
        <f t="shared" si="3"/>
        <v>31.1999999999976</v>
      </c>
      <c r="AO31" s="200">
        <f t="shared" si="3"/>
        <v>264.333333333313</v>
      </c>
      <c r="AP31" s="200">
        <f t="shared" si="3"/>
        <v>65.8666666666616</v>
      </c>
      <c r="AQ31" s="200">
        <f t="shared" si="3"/>
        <v>108.76666666665831</v>
      </c>
      <c r="AR31" s="200">
        <f t="shared" si="3"/>
        <v>376.999999999971</v>
      </c>
      <c r="AS31" s="199">
        <f t="shared" si="3"/>
        <v>422.0666666666342</v>
      </c>
      <c r="AT31" s="200">
        <f t="shared" si="3"/>
        <v>215.3666666666501</v>
      </c>
      <c r="AU31" s="172">
        <f aca="true" t="shared" si="4" ref="AU31:AU36">SUM(AL31:AT31)</f>
        <v>1933.9666666665182</v>
      </c>
    </row>
    <row r="32" spans="1:47" ht="12.75">
      <c r="A32" s="19" t="s">
        <v>228</v>
      </c>
      <c r="D32" s="1">
        <v>0</v>
      </c>
      <c r="F32" s="148" t="s">
        <v>8</v>
      </c>
      <c r="H32" s="11">
        <v>0</v>
      </c>
      <c r="I32" s="205">
        <v>0.03</v>
      </c>
      <c r="K32" s="149">
        <f t="shared" si="1"/>
        <v>0</v>
      </c>
      <c r="Q32" s="16" t="s">
        <v>433</v>
      </c>
      <c r="AG32" s="197" t="s">
        <v>68</v>
      </c>
      <c r="AH32" s="198" t="s">
        <v>69</v>
      </c>
      <c r="AI32" s="140"/>
      <c r="AJ32" s="171" t="s">
        <v>76</v>
      </c>
      <c r="AK32" s="162" t="s">
        <v>69</v>
      </c>
      <c r="AL32" s="199">
        <f aca="true" t="shared" si="5" ref="AL32:AT32">AL19*4.333333333333</f>
        <v>369.1999999999716</v>
      </c>
      <c r="AM32" s="200">
        <f t="shared" si="5"/>
        <v>64.13333333332841</v>
      </c>
      <c r="AN32" s="200">
        <f t="shared" si="5"/>
        <v>5.6333333333329</v>
      </c>
      <c r="AO32" s="200">
        <f t="shared" si="5"/>
        <v>175.4999999999865</v>
      </c>
      <c r="AP32" s="200">
        <f t="shared" si="5"/>
        <v>20.3666666666651</v>
      </c>
      <c r="AQ32" s="200">
        <f t="shared" si="5"/>
        <v>77.5666666666607</v>
      </c>
      <c r="AR32" s="200">
        <f t="shared" si="5"/>
        <v>166.3999999999872</v>
      </c>
      <c r="AS32" s="199">
        <f t="shared" si="5"/>
        <v>193.69999999998512</v>
      </c>
      <c r="AT32" s="200">
        <f t="shared" si="5"/>
        <v>154.2666666666548</v>
      </c>
      <c r="AU32" s="172">
        <f t="shared" si="4"/>
        <v>1226.7666666665723</v>
      </c>
    </row>
    <row r="33" spans="1:47" ht="12.75">
      <c r="A33" s="19" t="s">
        <v>235</v>
      </c>
      <c r="D33" s="1">
        <v>0</v>
      </c>
      <c r="F33" s="148" t="s">
        <v>8</v>
      </c>
      <c r="H33" s="154"/>
      <c r="K33" s="149">
        <f t="shared" si="1"/>
        <v>0</v>
      </c>
      <c r="AG33" s="197" t="s">
        <v>408</v>
      </c>
      <c r="AH33" s="198" t="s">
        <v>78</v>
      </c>
      <c r="AI33" s="140"/>
      <c r="AJ33" s="171" t="s">
        <v>79</v>
      </c>
      <c r="AK33" s="162" t="s">
        <v>78</v>
      </c>
      <c r="AL33" s="199">
        <f aca="true" t="shared" si="6" ref="AL33:AT33">AL20*4.333333333333</f>
        <v>274.29999999997887</v>
      </c>
      <c r="AM33" s="200">
        <f t="shared" si="6"/>
        <v>67.1666666666615</v>
      </c>
      <c r="AN33" s="200">
        <f t="shared" si="6"/>
        <v>18.1999999999986</v>
      </c>
      <c r="AO33" s="200">
        <f t="shared" si="6"/>
        <v>247.4333333333143</v>
      </c>
      <c r="AP33" s="200">
        <f t="shared" si="6"/>
        <v>30.7666666666643</v>
      </c>
      <c r="AQ33" s="200">
        <f t="shared" si="6"/>
        <v>109.19999999999159</v>
      </c>
      <c r="AR33" s="200">
        <f t="shared" si="6"/>
        <v>211.0333333333171</v>
      </c>
      <c r="AS33" s="199">
        <f t="shared" si="6"/>
        <v>175.9333333333198</v>
      </c>
      <c r="AT33" s="200">
        <f t="shared" si="6"/>
        <v>101.8333333333255</v>
      </c>
      <c r="AU33" s="172">
        <f t="shared" si="4"/>
        <v>1235.8666666665715</v>
      </c>
    </row>
    <row r="34" spans="1:47" ht="12.75">
      <c r="A34" s="19"/>
      <c r="F34" s="191"/>
      <c r="K34" s="206"/>
      <c r="L34" s="206"/>
      <c r="M34" s="206"/>
      <c r="N34" s="206"/>
      <c r="O34" s="206"/>
      <c r="P34" s="206"/>
      <c r="Q34" s="206"/>
      <c r="R34" s="206"/>
      <c r="S34" s="206"/>
      <c r="T34" s="206"/>
      <c r="U34" s="206"/>
      <c r="AG34" s="197" t="s">
        <v>84</v>
      </c>
      <c r="AH34" s="198" t="s">
        <v>83</v>
      </c>
      <c r="AI34" s="140"/>
      <c r="AJ34" s="171" t="s">
        <v>82</v>
      </c>
      <c r="AK34" s="162" t="s">
        <v>83</v>
      </c>
      <c r="AL34" s="199">
        <f aca="true" t="shared" si="7" ref="AL34:AT34">AL21*4.333333333333</f>
        <v>372.666666666638</v>
      </c>
      <c r="AM34" s="200">
        <f t="shared" si="7"/>
        <v>92.2999999999929</v>
      </c>
      <c r="AN34" s="200">
        <f t="shared" si="7"/>
        <v>23.3999999999982</v>
      </c>
      <c r="AO34" s="200">
        <f t="shared" si="7"/>
        <v>302.0333333333101</v>
      </c>
      <c r="AP34" s="200">
        <f t="shared" si="7"/>
        <v>48.9666666666629</v>
      </c>
      <c r="AQ34" s="200">
        <f t="shared" si="7"/>
        <v>115.69999999999109</v>
      </c>
      <c r="AR34" s="200">
        <f t="shared" si="7"/>
        <v>294.666666666644</v>
      </c>
      <c r="AS34" s="199">
        <f t="shared" si="7"/>
        <v>409.06666666663523</v>
      </c>
      <c r="AT34" s="200">
        <f t="shared" si="7"/>
        <v>231.39999999998219</v>
      </c>
      <c r="AU34" s="172">
        <f t="shared" si="4"/>
        <v>1890.1999999998545</v>
      </c>
    </row>
    <row r="35" spans="1:47" ht="12.75">
      <c r="A35" s="12" t="s">
        <v>28</v>
      </c>
      <c r="F35" s="191"/>
      <c r="K35" s="207"/>
      <c r="L35" s="372"/>
      <c r="M35" s="436" t="s">
        <v>457</v>
      </c>
      <c r="N35" s="436"/>
      <c r="O35" s="372"/>
      <c r="P35" s="207"/>
      <c r="Q35" s="207"/>
      <c r="R35" s="207"/>
      <c r="S35" s="207"/>
      <c r="T35" s="207"/>
      <c r="U35" s="207"/>
      <c r="AG35" s="197" t="s">
        <v>88</v>
      </c>
      <c r="AH35" s="198" t="s">
        <v>86</v>
      </c>
      <c r="AI35" s="140"/>
      <c r="AJ35" s="171" t="s">
        <v>85</v>
      </c>
      <c r="AK35" s="162" t="s">
        <v>86</v>
      </c>
      <c r="AL35" s="199">
        <f aca="true" t="shared" si="8" ref="AL35:AT35">AL22*4.333333333333</f>
        <v>386.53333333330363</v>
      </c>
      <c r="AM35" s="200">
        <f t="shared" si="8"/>
        <v>97.9333333333258</v>
      </c>
      <c r="AN35" s="200">
        <f t="shared" si="8"/>
        <v>25.999999999998</v>
      </c>
      <c r="AO35" s="200">
        <f t="shared" si="8"/>
        <v>363.999999999972</v>
      </c>
      <c r="AP35" s="200">
        <f t="shared" si="8"/>
        <v>53.299999999995904</v>
      </c>
      <c r="AQ35" s="200">
        <f t="shared" si="8"/>
        <v>191.5333333333186</v>
      </c>
      <c r="AR35" s="200">
        <f t="shared" si="8"/>
        <v>454.999999999965</v>
      </c>
      <c r="AS35" s="199">
        <f t="shared" si="8"/>
        <v>517.8333333332935</v>
      </c>
      <c r="AT35" s="200">
        <f t="shared" si="8"/>
        <v>204.53333333331761</v>
      </c>
      <c r="AU35" s="172">
        <f t="shared" si="4"/>
        <v>2296.6666666664896</v>
      </c>
    </row>
    <row r="36" spans="1:47" ht="12.75">
      <c r="A36" s="19"/>
      <c r="F36" s="191"/>
      <c r="K36" s="149"/>
      <c r="L36" s="373"/>
      <c r="M36" s="437" t="str">
        <f>H27</f>
        <v>2 adults, no children</v>
      </c>
      <c r="N36" s="437"/>
      <c r="O36" s="373"/>
      <c r="AG36" s="197" t="s">
        <v>409</v>
      </c>
      <c r="AH36" s="198" t="s">
        <v>90</v>
      </c>
      <c r="AI36" s="140"/>
      <c r="AJ36" s="171" t="s">
        <v>89</v>
      </c>
      <c r="AK36" s="159" t="s">
        <v>90</v>
      </c>
      <c r="AL36" s="199">
        <f aca="true" t="shared" si="9" ref="AL36:AT36">AL23*4.333333333333</f>
        <v>435.9333333332998</v>
      </c>
      <c r="AM36" s="200">
        <f t="shared" si="9"/>
        <v>103.1333333333254</v>
      </c>
      <c r="AN36" s="200">
        <f t="shared" si="9"/>
        <v>29.0333333333311</v>
      </c>
      <c r="AO36" s="200">
        <f t="shared" si="9"/>
        <v>387.8333333333035</v>
      </c>
      <c r="AP36" s="200">
        <f t="shared" si="9"/>
        <v>58.0666666666622</v>
      </c>
      <c r="AQ36" s="200">
        <f t="shared" si="9"/>
        <v>152.53333333332162</v>
      </c>
      <c r="AR36" s="200">
        <f t="shared" si="9"/>
        <v>398.2333333333027</v>
      </c>
      <c r="AS36" s="199">
        <f t="shared" si="9"/>
        <v>408.6333333333019</v>
      </c>
      <c r="AT36" s="200">
        <f t="shared" si="9"/>
        <v>222.29999999998287</v>
      </c>
      <c r="AU36" s="172">
        <f t="shared" si="4"/>
        <v>2195.699999999831</v>
      </c>
    </row>
    <row r="37" spans="1:47" ht="12.75">
      <c r="A37" s="19" t="s">
        <v>467</v>
      </c>
      <c r="D37" s="329">
        <f>N37</f>
        <v>264.333333333313</v>
      </c>
      <c r="F37" s="148" t="s">
        <v>8</v>
      </c>
      <c r="K37" s="149">
        <f>IF(F37=$K$2,D37*12,IF(F37=$K$3,D37*52,D37))</f>
        <v>3171.9999999997563</v>
      </c>
      <c r="L37" s="130" t="s">
        <v>87</v>
      </c>
      <c r="M37" s="130"/>
      <c r="N37" s="208">
        <f>VLOOKUP($AH$15,$AK$30:$AS$38,5)</f>
        <v>264.333333333313</v>
      </c>
      <c r="O37" s="130"/>
      <c r="AG37" s="197" t="s">
        <v>142</v>
      </c>
      <c r="AH37" s="198" t="s">
        <v>144</v>
      </c>
      <c r="AI37" s="140"/>
      <c r="AJ37" s="155" t="s">
        <v>142</v>
      </c>
      <c r="AK37" s="159" t="s">
        <v>144</v>
      </c>
      <c r="AL37" s="199">
        <f aca="true" t="shared" si="10" ref="AL37:AT37">AL24*4.333333333333</f>
        <v>179.8333333333195</v>
      </c>
      <c r="AM37" s="200">
        <f t="shared" si="10"/>
        <v>41.1666666666635</v>
      </c>
      <c r="AN37" s="200">
        <f t="shared" si="10"/>
        <v>15.166666666665499</v>
      </c>
      <c r="AO37" s="200">
        <f t="shared" si="10"/>
        <v>146.0333333333221</v>
      </c>
      <c r="AP37" s="200">
        <f t="shared" si="10"/>
        <v>25.999999999998</v>
      </c>
      <c r="AQ37" s="200">
        <f t="shared" si="10"/>
        <v>31.6333333333309</v>
      </c>
      <c r="AR37" s="200">
        <f t="shared" si="10"/>
        <v>168.999999999987</v>
      </c>
      <c r="AS37" s="199">
        <f t="shared" si="10"/>
        <v>100.96666666665891</v>
      </c>
      <c r="AT37" s="200">
        <f t="shared" si="10"/>
        <v>97.4999999999925</v>
      </c>
      <c r="AU37" s="172">
        <f>SUM(AL37:AT37)</f>
        <v>807.2999999999379</v>
      </c>
    </row>
    <row r="38" spans="1:47" ht="12.75" customHeight="1">
      <c r="A38" s="209" t="s">
        <v>108</v>
      </c>
      <c r="D38" s="329">
        <f>N38</f>
        <v>41.1666666666635</v>
      </c>
      <c r="F38" s="148" t="s">
        <v>8</v>
      </c>
      <c r="H38" s="420" t="s">
        <v>466</v>
      </c>
      <c r="I38" s="420"/>
      <c r="K38" s="149">
        <f>IF(F38=$K$2,D38*12,IF(F38=$K$3,D38*52,D38))</f>
        <v>493.99999999996203</v>
      </c>
      <c r="L38" s="209" t="s">
        <v>108</v>
      </c>
      <c r="M38" s="130"/>
      <c r="N38" s="210">
        <f>AN43</f>
        <v>41.1666666666635</v>
      </c>
      <c r="O38" s="130"/>
      <c r="AG38" s="211" t="s">
        <v>410</v>
      </c>
      <c r="AH38" s="212" t="s">
        <v>145</v>
      </c>
      <c r="AI38" s="140"/>
      <c r="AJ38" s="155" t="s">
        <v>143</v>
      </c>
      <c r="AK38" s="159" t="s">
        <v>145</v>
      </c>
      <c r="AL38" s="199">
        <f aca="true" t="shared" si="11" ref="AL38:AT38">AL25*4.333333333333</f>
        <v>230.96666666664888</v>
      </c>
      <c r="AM38" s="200">
        <f t="shared" si="11"/>
        <v>63.2666666666618</v>
      </c>
      <c r="AN38" s="200">
        <f t="shared" si="11"/>
        <v>51.133333333329404</v>
      </c>
      <c r="AO38" s="200">
        <f t="shared" si="11"/>
        <v>279.9333333333118</v>
      </c>
      <c r="AP38" s="200">
        <f t="shared" si="11"/>
        <v>60.666666666661996</v>
      </c>
      <c r="AQ38" s="200">
        <f t="shared" si="11"/>
        <v>82.333333333327</v>
      </c>
      <c r="AR38" s="200">
        <f t="shared" si="11"/>
        <v>401.2666666666358</v>
      </c>
      <c r="AS38" s="199">
        <f t="shared" si="11"/>
        <v>288.5999999999778</v>
      </c>
      <c r="AT38" s="200">
        <f t="shared" si="11"/>
        <v>168.999999999987</v>
      </c>
      <c r="AU38" s="172">
        <f>SUM(AL38:AT38)</f>
        <v>1627.1666666665415</v>
      </c>
    </row>
    <row r="39" spans="1:35" ht="12.75">
      <c r="A39" s="209" t="s">
        <v>110</v>
      </c>
      <c r="D39" s="329">
        <f>N40</f>
        <v>48.0999999999963</v>
      </c>
      <c r="F39" s="148" t="s">
        <v>8</v>
      </c>
      <c r="H39" s="420"/>
      <c r="I39" s="420"/>
      <c r="K39" s="149">
        <f>IF(F39=$K$2,D39*12,IF(F39=$K$3,D39*52,D39))</f>
        <v>577.1999999999556</v>
      </c>
      <c r="L39" s="209" t="s">
        <v>109</v>
      </c>
      <c r="M39" s="130"/>
      <c r="N39" s="210">
        <f>AN45</f>
        <v>45.0666666666632</v>
      </c>
      <c r="O39" s="130"/>
      <c r="X39" s="213" t="s">
        <v>8</v>
      </c>
      <c r="Y39" s="213"/>
      <c r="Z39" s="440" t="s">
        <v>455</v>
      </c>
      <c r="AA39" s="441"/>
      <c r="AF39" s="16" t="s">
        <v>32</v>
      </c>
      <c r="AG39" s="140"/>
      <c r="AH39" s="140"/>
      <c r="AI39" s="140"/>
    </row>
    <row r="40" spans="1:27" ht="12.75">
      <c r="A40" s="209" t="s">
        <v>109</v>
      </c>
      <c r="D40" s="329">
        <f>N39</f>
        <v>45.0666666666632</v>
      </c>
      <c r="F40" s="148" t="s">
        <v>8</v>
      </c>
      <c r="H40" s="420"/>
      <c r="I40" s="420"/>
      <c r="K40" s="149">
        <f>IF(F40=$K$2,D40*12,IF(F40=$K$3,D40*52,D40))</f>
        <v>540.7999999999585</v>
      </c>
      <c r="L40" s="209" t="s">
        <v>110</v>
      </c>
      <c r="M40" s="130"/>
      <c r="N40" s="210">
        <f>AN44</f>
        <v>48.0999999999963</v>
      </c>
      <c r="O40" s="130"/>
      <c r="X40" s="19"/>
      <c r="Y40" s="19"/>
      <c r="Z40" s="133" t="s">
        <v>0</v>
      </c>
      <c r="AA40" s="133" t="s">
        <v>1</v>
      </c>
    </row>
    <row r="41" spans="1:48" ht="12.75">
      <c r="A41" s="19" t="s">
        <v>445</v>
      </c>
      <c r="D41" s="329">
        <f>N41</f>
        <v>3.4666666666664003</v>
      </c>
      <c r="F41" s="148" t="s">
        <v>8</v>
      </c>
      <c r="H41" s="420"/>
      <c r="I41" s="420"/>
      <c r="K41" s="149">
        <f>IF(F41=$K$2,D41*12,IF(F41=$K$3,D41*52,D41))</f>
        <v>41.599999999996804</v>
      </c>
      <c r="L41" s="209" t="s">
        <v>111</v>
      </c>
      <c r="M41" s="19" t="s">
        <v>32</v>
      </c>
      <c r="N41" s="210">
        <f>AN46</f>
        <v>3.4666666666664003</v>
      </c>
      <c r="O41" s="130"/>
      <c r="X41" s="214" t="s">
        <v>170</v>
      </c>
      <c r="Y41" s="215"/>
      <c r="Z41" s="9">
        <v>0</v>
      </c>
      <c r="AA41" s="9">
        <v>0</v>
      </c>
      <c r="AJ41" s="151" t="s">
        <v>320</v>
      </c>
      <c r="AK41" s="216"/>
      <c r="AL41" s="216"/>
      <c r="AM41" s="216"/>
      <c r="AN41" s="216"/>
      <c r="AO41" s="216"/>
      <c r="AP41" s="216"/>
      <c r="AQ41" s="152"/>
      <c r="AR41" s="152"/>
      <c r="AS41" s="152"/>
      <c r="AT41" s="152"/>
      <c r="AU41" s="152"/>
      <c r="AV41" s="152"/>
    </row>
    <row r="42" spans="1:42" ht="12.75">
      <c r="A42" s="19" t="s">
        <v>4</v>
      </c>
      <c r="D42" s="1">
        <v>0</v>
      </c>
      <c r="E42" s="130" t="s">
        <v>103</v>
      </c>
      <c r="F42" s="148" t="s">
        <v>8</v>
      </c>
      <c r="H42" s="420"/>
      <c r="I42" s="420"/>
      <c r="K42" s="149">
        <f>IF(F42=$K$2,D42*10,IF(F42=$K$3,D42*44,D42))</f>
        <v>0</v>
      </c>
      <c r="L42" s="214"/>
      <c r="M42" s="130"/>
      <c r="N42" s="217">
        <f>IF(F42=$K$1,D42/12,D42)</f>
        <v>0</v>
      </c>
      <c r="O42" s="19" t="s">
        <v>103</v>
      </c>
      <c r="X42" s="214" t="s">
        <v>171</v>
      </c>
      <c r="Y42" s="215"/>
      <c r="Z42" s="9">
        <v>0</v>
      </c>
      <c r="AA42" s="9">
        <v>0</v>
      </c>
      <c r="AJ42" s="168" t="s">
        <v>14</v>
      </c>
      <c r="AK42" s="16"/>
      <c r="AL42" s="16"/>
      <c r="AM42" s="168" t="s">
        <v>8</v>
      </c>
      <c r="AN42" s="16"/>
      <c r="AO42" s="16"/>
      <c r="AP42" s="16"/>
    </row>
    <row r="43" spans="1:42" ht="12.75">
      <c r="A43" s="19" t="s">
        <v>29</v>
      </c>
      <c r="D43" s="1">
        <v>0</v>
      </c>
      <c r="F43" s="148" t="s">
        <v>8</v>
      </c>
      <c r="H43" s="419" t="s">
        <v>456</v>
      </c>
      <c r="I43" s="419"/>
      <c r="K43" s="149">
        <f aca="true" t="shared" si="12" ref="K43:K48">IF(F43=$K$2,D43*12,IF(F43=$K$3,D43*52,D43))</f>
        <v>0</v>
      </c>
      <c r="L43" s="129"/>
      <c r="M43" s="130"/>
      <c r="N43" s="218">
        <f>IF(F43=$K$1,D43/12,IF(F43=$K$2,D43,D43*4.3333))</f>
        <v>0</v>
      </c>
      <c r="O43" s="19"/>
      <c r="X43" s="214" t="s">
        <v>151</v>
      </c>
      <c r="Y43" s="215"/>
      <c r="Z43" s="9">
        <v>0</v>
      </c>
      <c r="AA43" s="9">
        <v>0</v>
      </c>
      <c r="AJ43" s="219" t="s">
        <v>108</v>
      </c>
      <c r="AK43" s="366">
        <v>9.5</v>
      </c>
      <c r="AL43" s="16"/>
      <c r="AM43" s="219" t="s">
        <v>108</v>
      </c>
      <c r="AN43" s="200">
        <f>AK43*4.333333333333</f>
        <v>41.1666666666635</v>
      </c>
      <c r="AO43" s="16"/>
      <c r="AP43" s="16"/>
    </row>
    <row r="44" spans="1:42" ht="12.75">
      <c r="A44" s="19" t="s">
        <v>446</v>
      </c>
      <c r="D44" s="329">
        <f>N44</f>
        <v>84.9333333333268</v>
      </c>
      <c r="F44" s="148" t="s">
        <v>8</v>
      </c>
      <c r="H44" s="419"/>
      <c r="I44" s="419"/>
      <c r="K44" s="149">
        <f t="shared" si="12"/>
        <v>1019.1999999999216</v>
      </c>
      <c r="L44" s="130" t="s">
        <v>80</v>
      </c>
      <c r="M44" s="130"/>
      <c r="N44" s="208">
        <f>VLOOKUP($AH$15,$AK$30:$AS$38,3)</f>
        <v>84.9333333333268</v>
      </c>
      <c r="O44" s="19"/>
      <c r="X44" s="214" t="s">
        <v>152</v>
      </c>
      <c r="Y44" s="215"/>
      <c r="Z44" s="9">
        <v>0</v>
      </c>
      <c r="AA44" s="9">
        <v>0</v>
      </c>
      <c r="AJ44" s="219" t="s">
        <v>110</v>
      </c>
      <c r="AK44" s="367">
        <v>11.1</v>
      </c>
      <c r="AL44" s="16"/>
      <c r="AM44" s="219" t="s">
        <v>110</v>
      </c>
      <c r="AN44" s="200">
        <f>AK44*4.333333333333</f>
        <v>48.0999999999963</v>
      </c>
      <c r="AO44" s="16"/>
      <c r="AP44" s="16"/>
    </row>
    <row r="45" spans="1:42" ht="12.75">
      <c r="A45" s="19" t="s">
        <v>444</v>
      </c>
      <c r="B45" s="8" t="s">
        <v>140</v>
      </c>
      <c r="C45" s="28" t="str">
        <f>IF(B45="Yes","Complete travel costs","")</f>
        <v>Complete travel costs</v>
      </c>
      <c r="D45" s="377">
        <f>IF(T47=0,N45,T47)</f>
        <v>185.4666666666524</v>
      </c>
      <c r="E45" s="130" t="str">
        <f>IF(D45=0,"",IF(D45=N45,"ONS amount",""))</f>
        <v>ONS amount</v>
      </c>
      <c r="F45" s="148" t="s">
        <v>8</v>
      </c>
      <c r="K45" s="149">
        <f t="shared" si="12"/>
        <v>2225.599999999829</v>
      </c>
      <c r="L45" s="374" t="s">
        <v>166</v>
      </c>
      <c r="M45" s="132"/>
      <c r="N45" s="208">
        <f>IF(B45="No",0,AN57)</f>
        <v>185.4666666666524</v>
      </c>
      <c r="O45" s="130"/>
      <c r="X45" s="214" t="s">
        <v>167</v>
      </c>
      <c r="Y45" s="215"/>
      <c r="Z45" s="9">
        <v>0</v>
      </c>
      <c r="AA45" s="9">
        <v>0</v>
      </c>
      <c r="AJ45" s="219" t="s">
        <v>109</v>
      </c>
      <c r="AK45" s="367">
        <v>10.4</v>
      </c>
      <c r="AL45" s="16"/>
      <c r="AM45" s="219" t="s">
        <v>109</v>
      </c>
      <c r="AN45" s="200">
        <f>AK45*4.333333333333</f>
        <v>45.0666666666632</v>
      </c>
      <c r="AO45" s="16"/>
      <c r="AP45" s="16"/>
    </row>
    <row r="46" spans="1:42" ht="12.75">
      <c r="A46" s="19" t="s">
        <v>30</v>
      </c>
      <c r="D46" s="329">
        <f>N46</f>
        <v>31.1999999999976</v>
      </c>
      <c r="F46" s="148" t="s">
        <v>8</v>
      </c>
      <c r="H46" s="438" t="s">
        <v>460</v>
      </c>
      <c r="I46" s="438"/>
      <c r="K46" s="149">
        <f t="shared" si="12"/>
        <v>374.3999999999712</v>
      </c>
      <c r="L46" s="374" t="s">
        <v>61</v>
      </c>
      <c r="M46" s="374"/>
      <c r="N46" s="208">
        <f>VLOOKUP($AH$15,$AK$30:$AS$38,4)</f>
        <v>31.1999999999976</v>
      </c>
      <c r="O46" s="130"/>
      <c r="R46" s="14" t="s">
        <v>443</v>
      </c>
      <c r="X46" s="19" t="s">
        <v>161</v>
      </c>
      <c r="Y46" s="19"/>
      <c r="Z46" s="9">
        <v>0</v>
      </c>
      <c r="AA46" s="9">
        <v>0</v>
      </c>
      <c r="AJ46" s="219" t="s">
        <v>111</v>
      </c>
      <c r="AK46" s="368">
        <v>0.8</v>
      </c>
      <c r="AL46" s="16"/>
      <c r="AM46" s="219" t="s">
        <v>111</v>
      </c>
      <c r="AN46" s="200">
        <f>AK46*4.333333333333</f>
        <v>3.4666666666664003</v>
      </c>
      <c r="AO46" s="16"/>
      <c r="AP46" s="16"/>
    </row>
    <row r="47" spans="1:42" ht="12.75">
      <c r="A47" s="19" t="s">
        <v>168</v>
      </c>
      <c r="B47" s="8" t="s">
        <v>140</v>
      </c>
      <c r="C47" s="28" t="str">
        <f>IF(B47="Yes","Complete travel costs","")</f>
        <v>Complete travel costs</v>
      </c>
      <c r="D47" s="377">
        <f>IF(T48=0,N47,T48)</f>
        <v>82.333333333327</v>
      </c>
      <c r="E47" s="130" t="str">
        <f>IF(D47=0,"",IF(D47=N47,"ONS amount",""))</f>
        <v>ONS amount</v>
      </c>
      <c r="F47" s="148" t="s">
        <v>8</v>
      </c>
      <c r="H47" s="439" t="s">
        <v>461</v>
      </c>
      <c r="I47" s="439"/>
      <c r="K47" s="149">
        <f t="shared" si="12"/>
        <v>987.9999999999241</v>
      </c>
      <c r="L47" s="374" t="s">
        <v>168</v>
      </c>
      <c r="M47" s="132"/>
      <c r="N47" s="208">
        <f>IF(B47="No",0,AN64)</f>
        <v>82.333333333327</v>
      </c>
      <c r="O47" s="130"/>
      <c r="R47" s="16" t="s">
        <v>444</v>
      </c>
      <c r="T47" s="220">
        <f>SUM(Z41+Z42+Z43+Z44+Z45+AA41+AA42+AA43+AA44+AA45)</f>
        <v>0</v>
      </c>
      <c r="X47" s="12" t="s">
        <v>3</v>
      </c>
      <c r="Y47" s="19"/>
      <c r="Z47" s="221">
        <f>SUM(Z41:Z46)</f>
        <v>0</v>
      </c>
      <c r="AA47" s="221">
        <f>SUM(AA41:AA46)</f>
        <v>0</v>
      </c>
      <c r="AG47" s="222"/>
      <c r="AJ47" s="223" t="s">
        <v>3</v>
      </c>
      <c r="AK47" s="224">
        <f>SUM(AK42:AK46)</f>
        <v>31.8</v>
      </c>
      <c r="AL47" s="16"/>
      <c r="AM47" s="223" t="s">
        <v>3</v>
      </c>
      <c r="AN47" s="224">
        <f>SUM(AN42:AN46)</f>
        <v>137.7999999999894</v>
      </c>
      <c r="AO47" s="16"/>
      <c r="AP47" s="16"/>
    </row>
    <row r="48" spans="1:42" ht="12.75">
      <c r="A48" s="19" t="s">
        <v>447</v>
      </c>
      <c r="D48" s="1">
        <v>0</v>
      </c>
      <c r="F48" s="148" t="s">
        <v>8</v>
      </c>
      <c r="H48" s="442" t="s">
        <v>462</v>
      </c>
      <c r="I48" s="442"/>
      <c r="K48" s="149">
        <f t="shared" si="12"/>
        <v>0</v>
      </c>
      <c r="L48" s="375"/>
      <c r="M48" s="374"/>
      <c r="N48" s="218">
        <f>IF(F48=$K$1,D48/12,IF(F48=$K$2,D48,D48*4.3333))</f>
        <v>0</v>
      </c>
      <c r="O48" s="19"/>
      <c r="R48" s="16" t="s">
        <v>168</v>
      </c>
      <c r="T48" s="220">
        <f>SUM(Z46+AA46)</f>
        <v>0</v>
      </c>
      <c r="AG48" s="222"/>
      <c r="AJ48" s="16" t="s">
        <v>32</v>
      </c>
      <c r="AK48" s="16"/>
      <c r="AL48" s="16"/>
      <c r="AM48" s="16"/>
      <c r="AN48" s="16"/>
      <c r="AO48" s="16"/>
      <c r="AP48" s="16"/>
    </row>
    <row r="49" spans="1:42" ht="12.75">
      <c r="A49" s="19"/>
      <c r="C49" s="130" t="s">
        <v>32</v>
      </c>
      <c r="F49" s="191"/>
      <c r="K49" s="149"/>
      <c r="L49" s="375"/>
      <c r="M49" s="374"/>
      <c r="N49" s="132"/>
      <c r="O49" s="130" t="s">
        <v>32</v>
      </c>
      <c r="X49" s="130" t="s">
        <v>223</v>
      </c>
      <c r="AG49" s="222"/>
      <c r="AJ49" s="119" t="s">
        <v>156</v>
      </c>
      <c r="AK49" s="16"/>
      <c r="AL49" s="16"/>
      <c r="AM49" s="16"/>
      <c r="AN49" s="16"/>
      <c r="AO49" s="16"/>
      <c r="AP49" s="16"/>
    </row>
    <row r="50" spans="1:42" ht="12.75">
      <c r="A50" s="19"/>
      <c r="D50" s="130"/>
      <c r="F50" s="191"/>
      <c r="K50" s="149"/>
      <c r="L50" s="132"/>
      <c r="M50" s="132"/>
      <c r="N50" s="132"/>
      <c r="O50" s="130"/>
      <c r="X50" s="433" t="s">
        <v>153</v>
      </c>
      <c r="Y50" s="434"/>
      <c r="Z50" s="434"/>
      <c r="AA50" s="435"/>
      <c r="AJ50" s="168" t="s">
        <v>14</v>
      </c>
      <c r="AK50" s="16"/>
      <c r="AL50" s="16"/>
      <c r="AM50" s="168" t="s">
        <v>8</v>
      </c>
      <c r="AN50" s="16"/>
      <c r="AO50" s="16"/>
      <c r="AP50" s="16"/>
    </row>
    <row r="51" spans="1:42" ht="12.75">
      <c r="A51" s="12" t="s">
        <v>31</v>
      </c>
      <c r="D51" s="130"/>
      <c r="F51" s="191"/>
      <c r="K51" s="149"/>
      <c r="L51" s="225"/>
      <c r="M51" s="19"/>
      <c r="N51" s="132"/>
      <c r="O51" s="130"/>
      <c r="X51" s="421"/>
      <c r="Y51" s="422"/>
      <c r="Z51" s="422"/>
      <c r="AA51" s="423"/>
      <c r="AJ51" s="223" t="s">
        <v>157</v>
      </c>
      <c r="AK51" s="16"/>
      <c r="AL51" s="16"/>
      <c r="AM51" s="223" t="s">
        <v>157</v>
      </c>
      <c r="AN51" s="16"/>
      <c r="AO51" s="16"/>
      <c r="AP51" s="16"/>
    </row>
    <row r="52" spans="1:42" ht="12.75">
      <c r="A52" s="12"/>
      <c r="B52" s="19" t="s">
        <v>32</v>
      </c>
      <c r="F52" s="191"/>
      <c r="K52" s="149"/>
      <c r="L52" s="154"/>
      <c r="M52" s="19" t="s">
        <v>32</v>
      </c>
      <c r="N52" s="132"/>
      <c r="O52" s="130"/>
      <c r="X52" s="424"/>
      <c r="Y52" s="425"/>
      <c r="Z52" s="425"/>
      <c r="AA52" s="426"/>
      <c r="AJ52" s="16" t="s">
        <v>170</v>
      </c>
      <c r="AK52" s="366">
        <v>10.3</v>
      </c>
      <c r="AL52" s="226"/>
      <c r="AM52" s="16" t="s">
        <v>170</v>
      </c>
      <c r="AN52" s="200">
        <f>AK52*4.333333333333</f>
        <v>44.6333333333299</v>
      </c>
      <c r="AO52" s="16"/>
      <c r="AP52" s="16"/>
    </row>
    <row r="53" spans="1:42" ht="12.75">
      <c r="A53" s="19" t="s">
        <v>448</v>
      </c>
      <c r="D53" s="329">
        <f>N53</f>
        <v>376.999999999971</v>
      </c>
      <c r="F53" s="148" t="s">
        <v>8</v>
      </c>
      <c r="K53" s="149">
        <f aca="true" t="shared" si="13" ref="K53:K60">IF(F53=$K$2,D53*12,IF(F53=$K$3,D53*52,D53))</f>
        <v>4523.999999999653</v>
      </c>
      <c r="L53" s="130" t="s">
        <v>64</v>
      </c>
      <c r="M53" s="130"/>
      <c r="N53" s="208">
        <f>VLOOKUP($AH$15,$AK$30:$AS$38,8)</f>
        <v>376.999999999971</v>
      </c>
      <c r="O53" s="130"/>
      <c r="X53" s="424"/>
      <c r="Y53" s="425"/>
      <c r="Z53" s="425"/>
      <c r="AA53" s="426"/>
      <c r="AJ53" s="16" t="s">
        <v>169</v>
      </c>
      <c r="AK53" s="367">
        <v>2.6</v>
      </c>
      <c r="AL53" s="16"/>
      <c r="AM53" s="16" t="s">
        <v>169</v>
      </c>
      <c r="AN53" s="200">
        <f>AK53*4.333333333333</f>
        <v>11.2666666666658</v>
      </c>
      <c r="AO53" s="16"/>
      <c r="AP53" s="16"/>
    </row>
    <row r="54" spans="1:42" ht="12.75">
      <c r="A54" s="19" t="s">
        <v>449</v>
      </c>
      <c r="D54" s="1">
        <v>0</v>
      </c>
      <c r="F54" s="148" t="s">
        <v>8</v>
      </c>
      <c r="K54" s="149">
        <f t="shared" si="13"/>
        <v>0</v>
      </c>
      <c r="L54" s="154"/>
      <c r="M54" s="130"/>
      <c r="N54" s="218">
        <f>IF(F54=$K$1,D54/12,IF(F54=$K$2,D54,D54*4.3333))</f>
        <v>0</v>
      </c>
      <c r="O54" s="19"/>
      <c r="X54" s="424"/>
      <c r="Y54" s="425"/>
      <c r="Z54" s="425"/>
      <c r="AA54" s="426"/>
      <c r="AJ54" s="16" t="s">
        <v>158</v>
      </c>
      <c r="AK54" s="367">
        <v>20.4</v>
      </c>
      <c r="AL54" s="226"/>
      <c r="AM54" s="16" t="s">
        <v>158</v>
      </c>
      <c r="AN54" s="200">
        <f>AK54*4.333333333333</f>
        <v>88.3999999999932</v>
      </c>
      <c r="AO54" s="16"/>
      <c r="AP54" s="16"/>
    </row>
    <row r="55" spans="1:42" ht="12.75">
      <c r="A55" s="19" t="s">
        <v>154</v>
      </c>
      <c r="B55" s="7" t="s">
        <v>140</v>
      </c>
      <c r="C55" s="376" t="s">
        <v>465</v>
      </c>
      <c r="D55" s="330">
        <f>N55</f>
        <v>65.8666666666616</v>
      </c>
      <c r="E55" s="130" t="str">
        <f>IF(D55=0,"",IF(D55=N55,"ONS amount",""))</f>
        <v>ONS amount</v>
      </c>
      <c r="F55" s="148" t="s">
        <v>8</v>
      </c>
      <c r="K55" s="149">
        <f t="shared" si="13"/>
        <v>790.3999999999392</v>
      </c>
      <c r="L55" s="19" t="s">
        <v>155</v>
      </c>
      <c r="M55" s="130"/>
      <c r="N55" s="208">
        <f>IF(B55="no",0,VLOOKUP($AH$15,$AK$30:$AS$38,6))</f>
        <v>65.8666666666616</v>
      </c>
      <c r="O55" s="130"/>
      <c r="X55" s="424"/>
      <c r="Y55" s="425"/>
      <c r="Z55" s="425"/>
      <c r="AA55" s="426"/>
      <c r="AH55" s="16" t="s">
        <v>140</v>
      </c>
      <c r="AJ55" s="16" t="s">
        <v>159</v>
      </c>
      <c r="AK55" s="367">
        <v>6.5</v>
      </c>
      <c r="AL55" s="226"/>
      <c r="AM55" s="16" t="s">
        <v>159</v>
      </c>
      <c r="AN55" s="200">
        <f>AK55*4.333333333333</f>
        <v>28.1666666666645</v>
      </c>
      <c r="AO55" s="16"/>
      <c r="AP55" s="16"/>
    </row>
    <row r="56" spans="1:42" ht="12.75">
      <c r="A56" s="19" t="s">
        <v>450</v>
      </c>
      <c r="D56" s="1">
        <v>0</v>
      </c>
      <c r="F56" s="148" t="s">
        <v>8</v>
      </c>
      <c r="K56" s="149">
        <f t="shared" si="13"/>
        <v>0</v>
      </c>
      <c r="L56" s="154"/>
      <c r="M56" s="130"/>
      <c r="N56" s="218">
        <f>IF(F56=$K$1,D56/12,IF(F56=$K$2,D56,D56*4.3333))</f>
        <v>0</v>
      </c>
      <c r="O56" s="19"/>
      <c r="X56" s="424"/>
      <c r="Y56" s="425"/>
      <c r="Z56" s="425"/>
      <c r="AA56" s="426"/>
      <c r="AH56" s="16" t="s">
        <v>141</v>
      </c>
      <c r="AJ56" s="16" t="s">
        <v>160</v>
      </c>
      <c r="AK56" s="368">
        <v>3</v>
      </c>
      <c r="AL56" s="226"/>
      <c r="AM56" s="16" t="s">
        <v>160</v>
      </c>
      <c r="AN56" s="200">
        <f>AK56*4.333333333333</f>
        <v>12.999999999999</v>
      </c>
      <c r="AO56" s="16"/>
      <c r="AP56" s="16"/>
    </row>
    <row r="57" spans="1:42" ht="12.75">
      <c r="A57" s="19" t="s">
        <v>451</v>
      </c>
      <c r="D57" s="1">
        <v>0</v>
      </c>
      <c r="F57" s="148" t="s">
        <v>8</v>
      </c>
      <c r="K57" s="149">
        <f t="shared" si="13"/>
        <v>0</v>
      </c>
      <c r="L57" s="154"/>
      <c r="M57" s="130"/>
      <c r="N57" s="218">
        <f>IF(F57=$K$1,D57/12,IF(F57=$K$2,D57,D57*4.3333))</f>
        <v>0</v>
      </c>
      <c r="O57" s="19"/>
      <c r="X57" s="424"/>
      <c r="Y57" s="425"/>
      <c r="Z57" s="425"/>
      <c r="AA57" s="426"/>
      <c r="AJ57" s="223" t="s">
        <v>3</v>
      </c>
      <c r="AK57" s="224">
        <f>SUM(AK52:AK56)</f>
        <v>42.8</v>
      </c>
      <c r="AL57" s="16"/>
      <c r="AM57" s="223" t="s">
        <v>3</v>
      </c>
      <c r="AN57" s="224">
        <f>SUM(AN52:AN56)</f>
        <v>185.4666666666524</v>
      </c>
      <c r="AO57" s="16"/>
      <c r="AP57" s="16"/>
    </row>
    <row r="58" spans="1:42" ht="12.75">
      <c r="A58" s="19" t="s">
        <v>452</v>
      </c>
      <c r="D58" s="329">
        <f>N58</f>
        <v>108.76666666665831</v>
      </c>
      <c r="F58" s="148" t="s">
        <v>8</v>
      </c>
      <c r="K58" s="149">
        <f t="shared" si="13"/>
        <v>1305.1999999998998</v>
      </c>
      <c r="L58" s="130" t="s">
        <v>33</v>
      </c>
      <c r="M58" s="130"/>
      <c r="N58" s="208">
        <f>VLOOKUP($AH$15,$AK$30:$AS$38,7)</f>
        <v>108.76666666665831</v>
      </c>
      <c r="O58" s="130"/>
      <c r="X58" s="424"/>
      <c r="Y58" s="425"/>
      <c r="Z58" s="425"/>
      <c r="AA58" s="426"/>
      <c r="AJ58" s="16"/>
      <c r="AK58" s="16"/>
      <c r="AL58" s="16"/>
      <c r="AM58" s="16"/>
      <c r="AN58" s="16"/>
      <c r="AO58" s="16"/>
      <c r="AP58" s="16"/>
    </row>
    <row r="59" spans="1:42" ht="12.75">
      <c r="A59" s="19" t="s">
        <v>453</v>
      </c>
      <c r="D59" s="329">
        <f>N59</f>
        <v>215.3666666666501</v>
      </c>
      <c r="F59" s="148" t="s">
        <v>8</v>
      </c>
      <c r="K59" s="149">
        <f t="shared" si="13"/>
        <v>2584.3999999998014</v>
      </c>
      <c r="L59" s="19" t="s">
        <v>119</v>
      </c>
      <c r="M59" s="130"/>
      <c r="N59" s="208">
        <f>VLOOKUP($AH$15,$AK$30:$AT$38,10)</f>
        <v>215.3666666666501</v>
      </c>
      <c r="O59" s="130"/>
      <c r="X59" s="424"/>
      <c r="Y59" s="425"/>
      <c r="Z59" s="425"/>
      <c r="AA59" s="426"/>
      <c r="AJ59" s="223" t="s">
        <v>161</v>
      </c>
      <c r="AK59" s="16"/>
      <c r="AL59" s="16"/>
      <c r="AM59" s="223" t="s">
        <v>161</v>
      </c>
      <c r="AN59" s="16"/>
      <c r="AO59" s="16"/>
      <c r="AP59" s="16"/>
    </row>
    <row r="60" spans="1:42" ht="12.75">
      <c r="A60" s="19" t="s">
        <v>454</v>
      </c>
      <c r="D60" s="1">
        <v>0</v>
      </c>
      <c r="F60" s="148" t="s">
        <v>8</v>
      </c>
      <c r="H60" s="129" t="s">
        <v>32</v>
      </c>
      <c r="K60" s="149">
        <f t="shared" si="13"/>
        <v>0</v>
      </c>
      <c r="L60" s="129"/>
      <c r="M60" s="130"/>
      <c r="N60" s="218">
        <f>IF(F60=$K$1,D60/12,IF(F60=$K$2,D60,D60*4.3333))</f>
        <v>0</v>
      </c>
      <c r="O60" s="19"/>
      <c r="X60" s="424"/>
      <c r="Y60" s="425"/>
      <c r="Z60" s="425"/>
      <c r="AA60" s="426"/>
      <c r="AJ60" s="16" t="s">
        <v>162</v>
      </c>
      <c r="AK60" s="369">
        <v>4.4</v>
      </c>
      <c r="AL60" s="16"/>
      <c r="AM60" s="16" t="s">
        <v>162</v>
      </c>
      <c r="AN60" s="200">
        <f>AK60*4.333333333333</f>
        <v>19.066666666665203</v>
      </c>
      <c r="AO60" s="16"/>
      <c r="AP60" s="16"/>
    </row>
    <row r="61" spans="1:42" ht="12.75">
      <c r="A61" s="19"/>
      <c r="K61" s="149"/>
      <c r="L61" s="154"/>
      <c r="M61" s="130"/>
      <c r="N61" s="132"/>
      <c r="O61" s="130"/>
      <c r="X61" s="424"/>
      <c r="Y61" s="425"/>
      <c r="Z61" s="425"/>
      <c r="AA61" s="426"/>
      <c r="AJ61" s="16" t="s">
        <v>163</v>
      </c>
      <c r="AK61" s="370">
        <v>1.4</v>
      </c>
      <c r="AL61" s="16"/>
      <c r="AM61" s="16" t="s">
        <v>163</v>
      </c>
      <c r="AN61" s="200">
        <f>AK61*4.333333333333</f>
        <v>6.066666666666199</v>
      </c>
      <c r="AO61" s="16" t="s">
        <v>32</v>
      </c>
      <c r="AP61" s="16"/>
    </row>
    <row r="62" spans="1:42" ht="12.75">
      <c r="A62" s="12" t="s">
        <v>98</v>
      </c>
      <c r="D62" s="228">
        <f>SUM(D43:D61)+SUM(D37:D41)+(D42/12*10)</f>
        <v>1553.0666666665472</v>
      </c>
      <c r="E62" s="130" t="s">
        <v>103</v>
      </c>
      <c r="F62" s="130"/>
      <c r="K62" s="149"/>
      <c r="L62" s="12" t="s">
        <v>97</v>
      </c>
      <c r="M62" s="130"/>
      <c r="N62" s="228">
        <f>SUM(N43:N61)+SUM(N37:N41)+(N42/12*10)</f>
        <v>1553.0666666665472</v>
      </c>
      <c r="O62" s="130"/>
      <c r="X62" s="424"/>
      <c r="Y62" s="425"/>
      <c r="Z62" s="425"/>
      <c r="AA62" s="426"/>
      <c r="AJ62" s="16" t="s">
        <v>164</v>
      </c>
      <c r="AK62" s="370">
        <v>0.9</v>
      </c>
      <c r="AL62" s="16"/>
      <c r="AM62" s="16" t="s">
        <v>164</v>
      </c>
      <c r="AN62" s="200">
        <f>AK62*4.333333333333</f>
        <v>3.8999999999997</v>
      </c>
      <c r="AO62" s="16"/>
      <c r="AP62" s="16"/>
    </row>
    <row r="63" spans="1:42" ht="15">
      <c r="A63" s="19"/>
      <c r="D63" s="130"/>
      <c r="F63" s="27" t="s">
        <v>95</v>
      </c>
      <c r="K63" s="149"/>
      <c r="L63" s="12"/>
      <c r="M63" s="130"/>
      <c r="N63" s="229"/>
      <c r="O63" s="130"/>
      <c r="X63" s="424"/>
      <c r="Y63" s="425"/>
      <c r="Z63" s="425"/>
      <c r="AA63" s="426"/>
      <c r="AJ63" s="16" t="s">
        <v>165</v>
      </c>
      <c r="AK63" s="371">
        <v>12.3</v>
      </c>
      <c r="AL63" s="16"/>
      <c r="AM63" s="16" t="s">
        <v>165</v>
      </c>
      <c r="AN63" s="200">
        <f>AK63*4.333333333333</f>
        <v>53.299999999995904</v>
      </c>
      <c r="AO63" s="16"/>
      <c r="AP63" s="16"/>
    </row>
    <row r="64" spans="1:42" ht="12.75">
      <c r="A64" s="12" t="s">
        <v>99</v>
      </c>
      <c r="D64" s="228">
        <f>D62*12</f>
        <v>18636.799999998566</v>
      </c>
      <c r="E64" s="130" t="s">
        <v>103</v>
      </c>
      <c r="F64" s="230">
        <f>IF(D64=0,0,(D64-N64)/N64)</f>
        <v>0</v>
      </c>
      <c r="K64" s="231"/>
      <c r="L64" s="232" t="s">
        <v>94</v>
      </c>
      <c r="M64" s="12"/>
      <c r="N64" s="233">
        <f>N62*12</f>
        <v>18636.799999998566</v>
      </c>
      <c r="O64" s="130"/>
      <c r="Q64" s="223"/>
      <c r="R64" s="223"/>
      <c r="S64" s="223"/>
      <c r="T64" s="223"/>
      <c r="U64" s="223"/>
      <c r="X64" s="424"/>
      <c r="Y64" s="425"/>
      <c r="Z64" s="425"/>
      <c r="AA64" s="426"/>
      <c r="AJ64" s="223" t="s">
        <v>3</v>
      </c>
      <c r="AK64" s="224">
        <f>SUM(AK60:AK63)</f>
        <v>19</v>
      </c>
      <c r="AL64" s="16"/>
      <c r="AM64" s="223" t="s">
        <v>3</v>
      </c>
      <c r="AN64" s="224">
        <f>SUM(AN60:AN63)</f>
        <v>82.333333333327</v>
      </c>
      <c r="AO64" s="16" t="s">
        <v>32</v>
      </c>
      <c r="AP64" s="16"/>
    </row>
    <row r="65" spans="1:27" ht="12.75">
      <c r="A65" s="234" t="s">
        <v>104</v>
      </c>
      <c r="D65" s="228"/>
      <c r="F65" s="235"/>
      <c r="K65" s="231"/>
      <c r="L65" s="232"/>
      <c r="M65" s="12"/>
      <c r="N65" s="12"/>
      <c r="O65" s="223"/>
      <c r="P65" s="223"/>
      <c r="Q65" s="223"/>
      <c r="R65" s="223"/>
      <c r="S65" s="223"/>
      <c r="T65" s="223"/>
      <c r="U65" s="223"/>
      <c r="V65" s="233"/>
      <c r="X65" s="427"/>
      <c r="Y65" s="428"/>
      <c r="Z65" s="428"/>
      <c r="AA65" s="429"/>
    </row>
    <row r="66" spans="1:38" ht="12.75">
      <c r="A66" s="19"/>
      <c r="K66" s="149"/>
      <c r="AL66" s="236"/>
    </row>
    <row r="67" spans="1:38" ht="12.75" customHeight="1">
      <c r="A67" s="12" t="s">
        <v>199</v>
      </c>
      <c r="H67" s="411" t="s">
        <v>178</v>
      </c>
      <c r="I67" s="412"/>
      <c r="J67" s="413"/>
      <c r="K67" s="149"/>
      <c r="W67" s="417" t="s">
        <v>177</v>
      </c>
      <c r="X67" s="417"/>
      <c r="Y67" s="417"/>
      <c r="AL67" s="236"/>
    </row>
    <row r="68" spans="1:38" ht="12.75" customHeight="1">
      <c r="A68" s="19"/>
      <c r="H68" s="414"/>
      <c r="I68" s="415"/>
      <c r="J68" s="416"/>
      <c r="K68" s="149"/>
      <c r="W68" s="417"/>
      <c r="X68" s="417"/>
      <c r="Y68" s="417"/>
      <c r="AL68" s="236"/>
    </row>
    <row r="69" spans="1:21" ht="12.75">
      <c r="A69" s="12" t="s">
        <v>122</v>
      </c>
      <c r="B69" s="12"/>
      <c r="C69" s="237"/>
      <c r="D69" s="12"/>
      <c r="E69" s="232"/>
      <c r="F69" s="232"/>
      <c r="G69" s="232"/>
      <c r="I69" s="238"/>
      <c r="J69" s="238"/>
      <c r="K69" s="239"/>
      <c r="M69" s="418" t="s">
        <v>125</v>
      </c>
      <c r="N69" s="418"/>
      <c r="O69" s="418"/>
      <c r="Q69" s="418" t="s">
        <v>128</v>
      </c>
      <c r="R69" s="418"/>
      <c r="S69" s="418"/>
      <c r="T69" s="240"/>
      <c r="U69" s="240"/>
    </row>
    <row r="70" spans="1:25" ht="25.5">
      <c r="A70" s="241" t="s">
        <v>120</v>
      </c>
      <c r="B70" s="241" t="s">
        <v>11</v>
      </c>
      <c r="C70" s="242" t="s">
        <v>123</v>
      </c>
      <c r="D70" s="242" t="s">
        <v>124</v>
      </c>
      <c r="E70" s="241" t="s">
        <v>125</v>
      </c>
      <c r="F70" s="243" t="s">
        <v>126</v>
      </c>
      <c r="G70" s="243" t="s">
        <v>127</v>
      </c>
      <c r="H70" s="241" t="s">
        <v>128</v>
      </c>
      <c r="I70" s="243" t="s">
        <v>129</v>
      </c>
      <c r="J70" s="241" t="s">
        <v>130</v>
      </c>
      <c r="K70" s="244" t="s">
        <v>172</v>
      </c>
      <c r="L70" s="245" t="s">
        <v>16</v>
      </c>
      <c r="M70" s="245" t="s">
        <v>173</v>
      </c>
      <c r="N70" s="245" t="s">
        <v>174</v>
      </c>
      <c r="O70" s="245" t="s">
        <v>175</v>
      </c>
      <c r="P70" s="246"/>
      <c r="Q70" s="245" t="s">
        <v>173</v>
      </c>
      <c r="R70" s="245" t="s">
        <v>174</v>
      </c>
      <c r="S70" s="245" t="s">
        <v>175</v>
      </c>
      <c r="T70" s="245"/>
      <c r="U70" s="245" t="s">
        <v>132</v>
      </c>
      <c r="W70" s="241" t="s">
        <v>120</v>
      </c>
      <c r="X70" s="243" t="s">
        <v>179</v>
      </c>
      <c r="Y70" s="243" t="s">
        <v>192</v>
      </c>
    </row>
    <row r="71" spans="1:25" ht="12.75">
      <c r="A71" s="247" t="s">
        <v>131</v>
      </c>
      <c r="B71" s="6"/>
      <c r="C71" s="4"/>
      <c r="D71" s="4"/>
      <c r="E71" s="2"/>
      <c r="F71" s="5"/>
      <c r="G71" s="4"/>
      <c r="H71" s="230">
        <f aca="true" t="shared" si="14" ref="H71:H78">IF(E71=0,"",IF(E71="","",IF(U71="Yes",E71,IF(E71+2%&gt;5.5%,E71+2%,5.5%))))</f>
      </c>
      <c r="I71" s="251">
        <f>IF(B71=0,"",(B71*E71)/12)</f>
      </c>
      <c r="J71" s="251">
        <f aca="true" t="shared" si="15" ref="J71:J78">IF(B71=0,"",(B71*H71)/12)</f>
      </c>
      <c r="K71" s="239">
        <f aca="true" t="shared" si="16" ref="K71:K78">B71</f>
        <v>0</v>
      </c>
      <c r="L71" s="252">
        <f aca="true" t="shared" si="17" ref="L71:L78">C71+(D71/12)</f>
        <v>0</v>
      </c>
      <c r="M71" s="253">
        <f aca="true" t="shared" si="18" ref="M71:M78">E71</f>
        <v>0</v>
      </c>
      <c r="N71" s="254" t="e">
        <f>-PMT(M71,L71,1000)/12</f>
        <v>#NUM!</v>
      </c>
      <c r="O71" s="255" t="e">
        <f>(K71/1000)*N71</f>
        <v>#NUM!</v>
      </c>
      <c r="Q71" s="253">
        <f aca="true" t="shared" si="19" ref="Q71:Q78">H71</f>
      </c>
      <c r="R71" s="254" t="e">
        <f>-PMT(Q71,L71,1000)/12</f>
        <v>#VALUE!</v>
      </c>
      <c r="S71" s="15" t="e">
        <f>(K71/1000)*R71</f>
        <v>#VALUE!</v>
      </c>
      <c r="T71" s="254"/>
      <c r="U71" s="140" t="str">
        <f aca="true" t="shared" si="20" ref="U71:U78">IF(F71&lt;&gt;"Fixed","No",IF(G71&lt;&gt;5,"No","Yes"))</f>
        <v>No</v>
      </c>
      <c r="W71" s="256" t="s">
        <v>176</v>
      </c>
      <c r="X71" s="251">
        <f aca="true" t="shared" si="21" ref="X71:X78">IF(B71="",0,IF(B71=0,0,O71))</f>
        <v>0</v>
      </c>
      <c r="Y71" s="251">
        <f aca="true" t="shared" si="22" ref="Y71:Y78">IF(B71="",0,IF(B71=0,0,S71))</f>
        <v>0</v>
      </c>
    </row>
    <row r="72" spans="1:25" ht="12.75" hidden="1">
      <c r="A72" s="257">
        <v>1</v>
      </c>
      <c r="B72" s="248"/>
      <c r="C72" s="249"/>
      <c r="D72" s="249"/>
      <c r="E72" s="250"/>
      <c r="F72" s="249"/>
      <c r="G72" s="249"/>
      <c r="H72" s="230">
        <f t="shared" si="14"/>
      </c>
      <c r="I72" s="251">
        <f aca="true" t="shared" si="23" ref="I72:I78">IF(B72=0,"",(B72*E72)/12)</f>
      </c>
      <c r="J72" s="251">
        <f t="shared" si="15"/>
      </c>
      <c r="K72" s="239">
        <f t="shared" si="16"/>
        <v>0</v>
      </c>
      <c r="L72" s="252">
        <f t="shared" si="17"/>
        <v>0</v>
      </c>
      <c r="M72" s="253">
        <f t="shared" si="18"/>
        <v>0</v>
      </c>
      <c r="N72" s="254" t="e">
        <f aca="true" t="shared" si="24" ref="N72:N78">-PMT(M72,L72,1000)/12</f>
        <v>#NUM!</v>
      </c>
      <c r="O72" s="255" t="e">
        <f aca="true" t="shared" si="25" ref="O72:O78">(K72/1000)*N72</f>
        <v>#NUM!</v>
      </c>
      <c r="Q72" s="253">
        <f t="shared" si="19"/>
      </c>
      <c r="R72" s="254" t="e">
        <f aca="true" t="shared" si="26" ref="R72:R78">-PMT(Q72,L72,1000)/12</f>
        <v>#VALUE!</v>
      </c>
      <c r="S72" s="15" t="e">
        <f aca="true" t="shared" si="27" ref="S72:S78">(K72/1000)*R72</f>
        <v>#VALUE!</v>
      </c>
      <c r="T72" s="254"/>
      <c r="U72" s="140" t="str">
        <f t="shared" si="20"/>
        <v>No</v>
      </c>
      <c r="W72" s="256">
        <v>1</v>
      </c>
      <c r="X72" s="251">
        <f t="shared" si="21"/>
        <v>0</v>
      </c>
      <c r="Y72" s="251">
        <f t="shared" si="22"/>
        <v>0</v>
      </c>
    </row>
    <row r="73" spans="1:25" ht="12.75" hidden="1">
      <c r="A73" s="257">
        <v>2</v>
      </c>
      <c r="B73" s="248"/>
      <c r="C73" s="249"/>
      <c r="D73" s="249"/>
      <c r="E73" s="250"/>
      <c r="F73" s="249"/>
      <c r="G73" s="249"/>
      <c r="H73" s="230">
        <f t="shared" si="14"/>
      </c>
      <c r="I73" s="251">
        <f t="shared" si="23"/>
      </c>
      <c r="J73" s="251">
        <f t="shared" si="15"/>
      </c>
      <c r="K73" s="239">
        <f t="shared" si="16"/>
        <v>0</v>
      </c>
      <c r="L73" s="252">
        <f t="shared" si="17"/>
        <v>0</v>
      </c>
      <c r="M73" s="253">
        <f t="shared" si="18"/>
        <v>0</v>
      </c>
      <c r="N73" s="254" t="e">
        <f t="shared" si="24"/>
        <v>#NUM!</v>
      </c>
      <c r="O73" s="255" t="e">
        <f t="shared" si="25"/>
        <v>#NUM!</v>
      </c>
      <c r="Q73" s="253">
        <f t="shared" si="19"/>
      </c>
      <c r="R73" s="254" t="e">
        <f t="shared" si="26"/>
        <v>#VALUE!</v>
      </c>
      <c r="S73" s="15" t="e">
        <f t="shared" si="27"/>
        <v>#VALUE!</v>
      </c>
      <c r="T73" s="254"/>
      <c r="U73" s="140" t="str">
        <f t="shared" si="20"/>
        <v>No</v>
      </c>
      <c r="W73" s="256">
        <v>2</v>
      </c>
      <c r="X73" s="251">
        <f t="shared" si="21"/>
        <v>0</v>
      </c>
      <c r="Y73" s="251">
        <f t="shared" si="22"/>
        <v>0</v>
      </c>
    </row>
    <row r="74" spans="1:25" ht="12.75" hidden="1">
      <c r="A74" s="257">
        <v>3</v>
      </c>
      <c r="B74" s="248"/>
      <c r="C74" s="249"/>
      <c r="D74" s="249"/>
      <c r="E74" s="250"/>
      <c r="F74" s="249"/>
      <c r="G74" s="249"/>
      <c r="H74" s="230">
        <f t="shared" si="14"/>
      </c>
      <c r="I74" s="251">
        <f t="shared" si="23"/>
      </c>
      <c r="J74" s="251">
        <f t="shared" si="15"/>
      </c>
      <c r="K74" s="239">
        <f t="shared" si="16"/>
        <v>0</v>
      </c>
      <c r="L74" s="252">
        <f t="shared" si="17"/>
        <v>0</v>
      </c>
      <c r="M74" s="253">
        <f t="shared" si="18"/>
        <v>0</v>
      </c>
      <c r="N74" s="254" t="e">
        <f t="shared" si="24"/>
        <v>#NUM!</v>
      </c>
      <c r="O74" s="255" t="e">
        <f t="shared" si="25"/>
        <v>#NUM!</v>
      </c>
      <c r="Q74" s="253">
        <f t="shared" si="19"/>
      </c>
      <c r="R74" s="254" t="e">
        <f t="shared" si="26"/>
        <v>#VALUE!</v>
      </c>
      <c r="S74" s="15" t="e">
        <f t="shared" si="27"/>
        <v>#VALUE!</v>
      </c>
      <c r="T74" s="254"/>
      <c r="U74" s="140" t="str">
        <f t="shared" si="20"/>
        <v>No</v>
      </c>
      <c r="W74" s="256">
        <v>3</v>
      </c>
      <c r="X74" s="251">
        <f t="shared" si="21"/>
        <v>0</v>
      </c>
      <c r="Y74" s="251">
        <f t="shared" si="22"/>
        <v>0</v>
      </c>
    </row>
    <row r="75" spans="1:25" ht="12.75" hidden="1">
      <c r="A75" s="257">
        <v>4</v>
      </c>
      <c r="B75" s="248"/>
      <c r="C75" s="249"/>
      <c r="D75" s="249"/>
      <c r="E75" s="250"/>
      <c r="F75" s="249"/>
      <c r="G75" s="249"/>
      <c r="H75" s="230">
        <f t="shared" si="14"/>
      </c>
      <c r="I75" s="251">
        <f t="shared" si="23"/>
      </c>
      <c r="J75" s="251">
        <f t="shared" si="15"/>
      </c>
      <c r="K75" s="239">
        <f t="shared" si="16"/>
        <v>0</v>
      </c>
      <c r="L75" s="252">
        <f t="shared" si="17"/>
        <v>0</v>
      </c>
      <c r="M75" s="253">
        <f t="shared" si="18"/>
        <v>0</v>
      </c>
      <c r="N75" s="254" t="e">
        <f t="shared" si="24"/>
        <v>#NUM!</v>
      </c>
      <c r="O75" s="255" t="e">
        <f t="shared" si="25"/>
        <v>#NUM!</v>
      </c>
      <c r="Q75" s="253">
        <f t="shared" si="19"/>
      </c>
      <c r="R75" s="254" t="e">
        <f t="shared" si="26"/>
        <v>#VALUE!</v>
      </c>
      <c r="S75" s="15" t="e">
        <f t="shared" si="27"/>
        <v>#VALUE!</v>
      </c>
      <c r="T75" s="254"/>
      <c r="U75" s="140" t="str">
        <f t="shared" si="20"/>
        <v>No</v>
      </c>
      <c r="W75" s="256">
        <v>4</v>
      </c>
      <c r="X75" s="251">
        <f t="shared" si="21"/>
        <v>0</v>
      </c>
      <c r="Y75" s="251">
        <f t="shared" si="22"/>
        <v>0</v>
      </c>
    </row>
    <row r="76" spans="1:25" ht="12.75" hidden="1">
      <c r="A76" s="257">
        <v>5</v>
      </c>
      <c r="B76" s="248"/>
      <c r="C76" s="249"/>
      <c r="D76" s="249"/>
      <c r="E76" s="250"/>
      <c r="F76" s="249"/>
      <c r="G76" s="249"/>
      <c r="H76" s="230">
        <f t="shared" si="14"/>
      </c>
      <c r="I76" s="251">
        <f t="shared" si="23"/>
      </c>
      <c r="J76" s="251">
        <f t="shared" si="15"/>
      </c>
      <c r="K76" s="239">
        <f t="shared" si="16"/>
        <v>0</v>
      </c>
      <c r="L76" s="252">
        <f t="shared" si="17"/>
        <v>0</v>
      </c>
      <c r="M76" s="253">
        <f t="shared" si="18"/>
        <v>0</v>
      </c>
      <c r="N76" s="254" t="e">
        <f t="shared" si="24"/>
        <v>#NUM!</v>
      </c>
      <c r="O76" s="255" t="e">
        <f t="shared" si="25"/>
        <v>#NUM!</v>
      </c>
      <c r="Q76" s="253">
        <f t="shared" si="19"/>
      </c>
      <c r="R76" s="254" t="e">
        <f t="shared" si="26"/>
        <v>#VALUE!</v>
      </c>
      <c r="S76" s="15" t="e">
        <f t="shared" si="27"/>
        <v>#VALUE!</v>
      </c>
      <c r="T76" s="254"/>
      <c r="U76" s="140" t="str">
        <f t="shared" si="20"/>
        <v>No</v>
      </c>
      <c r="W76" s="256">
        <v>5</v>
      </c>
      <c r="X76" s="251">
        <f t="shared" si="21"/>
        <v>0</v>
      </c>
      <c r="Y76" s="251">
        <f t="shared" si="22"/>
        <v>0</v>
      </c>
    </row>
    <row r="77" spans="1:25" ht="12.75" hidden="1">
      <c r="A77" s="257">
        <v>6</v>
      </c>
      <c r="B77" s="248"/>
      <c r="C77" s="249"/>
      <c r="D77" s="249"/>
      <c r="E77" s="250"/>
      <c r="F77" s="249"/>
      <c r="G77" s="249"/>
      <c r="H77" s="230">
        <f t="shared" si="14"/>
      </c>
      <c r="I77" s="251">
        <f t="shared" si="23"/>
      </c>
      <c r="J77" s="251">
        <f t="shared" si="15"/>
      </c>
      <c r="K77" s="239">
        <f t="shared" si="16"/>
        <v>0</v>
      </c>
      <c r="L77" s="252">
        <f t="shared" si="17"/>
        <v>0</v>
      </c>
      <c r="M77" s="253">
        <f t="shared" si="18"/>
        <v>0</v>
      </c>
      <c r="N77" s="254" t="e">
        <f t="shared" si="24"/>
        <v>#NUM!</v>
      </c>
      <c r="O77" s="255" t="e">
        <f t="shared" si="25"/>
        <v>#NUM!</v>
      </c>
      <c r="Q77" s="253">
        <f t="shared" si="19"/>
      </c>
      <c r="R77" s="254" t="e">
        <f t="shared" si="26"/>
        <v>#VALUE!</v>
      </c>
      <c r="S77" s="15" t="e">
        <f t="shared" si="27"/>
        <v>#VALUE!</v>
      </c>
      <c r="T77" s="254"/>
      <c r="U77" s="140" t="str">
        <f t="shared" si="20"/>
        <v>No</v>
      </c>
      <c r="W77" s="256">
        <v>6</v>
      </c>
      <c r="X77" s="251">
        <f t="shared" si="21"/>
        <v>0</v>
      </c>
      <c r="Y77" s="251">
        <f t="shared" si="22"/>
        <v>0</v>
      </c>
    </row>
    <row r="78" spans="1:25" ht="12.75" hidden="1">
      <c r="A78" s="247">
        <v>7</v>
      </c>
      <c r="B78" s="248"/>
      <c r="C78" s="249"/>
      <c r="D78" s="249"/>
      <c r="E78" s="250"/>
      <c r="F78" s="249"/>
      <c r="G78" s="249"/>
      <c r="H78" s="230">
        <f t="shared" si="14"/>
      </c>
      <c r="I78" s="251">
        <f t="shared" si="23"/>
      </c>
      <c r="J78" s="251">
        <f t="shared" si="15"/>
      </c>
      <c r="K78" s="239">
        <f t="shared" si="16"/>
        <v>0</v>
      </c>
      <c r="L78" s="252">
        <f t="shared" si="17"/>
        <v>0</v>
      </c>
      <c r="M78" s="253">
        <f t="shared" si="18"/>
        <v>0</v>
      </c>
      <c r="N78" s="254" t="e">
        <f t="shared" si="24"/>
        <v>#NUM!</v>
      </c>
      <c r="O78" s="255" t="e">
        <f t="shared" si="25"/>
        <v>#NUM!</v>
      </c>
      <c r="Q78" s="253">
        <f t="shared" si="19"/>
      </c>
      <c r="R78" s="254" t="e">
        <f t="shared" si="26"/>
        <v>#VALUE!</v>
      </c>
      <c r="S78" s="15" t="e">
        <f t="shared" si="27"/>
        <v>#VALUE!</v>
      </c>
      <c r="T78" s="254"/>
      <c r="U78" s="140" t="str">
        <f t="shared" si="20"/>
        <v>No</v>
      </c>
      <c r="W78" s="256">
        <v>7</v>
      </c>
      <c r="X78" s="251">
        <f t="shared" si="21"/>
        <v>0</v>
      </c>
      <c r="Y78" s="251">
        <f t="shared" si="22"/>
        <v>0</v>
      </c>
    </row>
    <row r="79" spans="1:25" ht="12.75">
      <c r="A79" s="258"/>
      <c r="B79" s="259">
        <f>SUM(B71:B78)</f>
        <v>0</v>
      </c>
      <c r="C79" s="260"/>
      <c r="D79" s="260"/>
      <c r="E79" s="258"/>
      <c r="F79" s="260"/>
      <c r="G79" s="258"/>
      <c r="H79" s="133" t="s">
        <v>3</v>
      </c>
      <c r="I79" s="251">
        <f>SUM(I71:I78)</f>
        <v>0</v>
      </c>
      <c r="J79" s="251">
        <f>SUM(J71:J78)</f>
        <v>0</v>
      </c>
      <c r="K79" s="149"/>
      <c r="W79" s="243" t="s">
        <v>3</v>
      </c>
      <c r="X79" s="251">
        <f>SUM(X71:X78)</f>
        <v>0</v>
      </c>
      <c r="Y79" s="251">
        <f>SUM(Y71:Y78)</f>
        <v>0</v>
      </c>
    </row>
    <row r="80" spans="1:15" ht="13.5" customHeight="1">
      <c r="A80" s="19"/>
      <c r="K80" s="149"/>
      <c r="O80" s="15">
        <v>5</v>
      </c>
    </row>
    <row r="81" spans="1:28" ht="12.75" customHeight="1">
      <c r="A81" s="12" t="s">
        <v>200</v>
      </c>
      <c r="K81" s="261"/>
      <c r="L81" s="262"/>
      <c r="M81" s="139"/>
      <c r="N81" s="139"/>
      <c r="O81" s="139"/>
      <c r="P81" s="139"/>
      <c r="Q81" s="139"/>
      <c r="R81" s="139"/>
      <c r="S81" s="139"/>
      <c r="T81" s="139"/>
      <c r="U81" s="139"/>
      <c r="AB81" s="263"/>
    </row>
    <row r="82" spans="10:22" ht="12.75">
      <c r="J82" s="19" t="s">
        <v>32</v>
      </c>
      <c r="K82" s="264"/>
      <c r="L82" s="265"/>
      <c r="M82" s="265"/>
      <c r="N82" s="265"/>
      <c r="O82" s="265"/>
      <c r="P82" s="265"/>
      <c r="Q82" s="265"/>
      <c r="R82" s="265"/>
      <c r="S82" s="265"/>
      <c r="T82" s="265"/>
      <c r="U82" s="265"/>
      <c r="V82" s="266"/>
    </row>
    <row r="83" spans="1:49" ht="12.75">
      <c r="A83" s="130" t="s">
        <v>21</v>
      </c>
      <c r="D83" s="134">
        <f>SUM(K11:K19)</f>
        <v>0</v>
      </c>
      <c r="K83" s="264"/>
      <c r="L83" s="265"/>
      <c r="M83" s="265"/>
      <c r="N83" s="265"/>
      <c r="O83" s="265"/>
      <c r="P83" s="265"/>
      <c r="Q83" s="265"/>
      <c r="R83" s="265"/>
      <c r="S83" s="265"/>
      <c r="T83" s="265"/>
      <c r="U83" s="265"/>
      <c r="V83" s="266" t="s">
        <v>32</v>
      </c>
      <c r="AW83" s="19" t="s">
        <v>32</v>
      </c>
    </row>
    <row r="84" spans="6:22" ht="13.5" customHeight="1">
      <c r="F84" s="214"/>
      <c r="K84" s="267"/>
      <c r="L84" s="268"/>
      <c r="M84" s="268"/>
      <c r="N84" s="268"/>
      <c r="O84" s="161" t="s">
        <v>126</v>
      </c>
      <c r="P84" s="265"/>
      <c r="Q84" s="161">
        <v>2</v>
      </c>
      <c r="R84" s="265"/>
      <c r="S84" s="265"/>
      <c r="T84" s="268"/>
      <c r="U84" s="268"/>
      <c r="V84" s="266"/>
    </row>
    <row r="85" spans="1:22" ht="12.75">
      <c r="A85" s="130" t="s">
        <v>22</v>
      </c>
      <c r="D85" s="134">
        <f>SUM(K27:K60)</f>
        <v>18636.799999998566</v>
      </c>
      <c r="K85" s="269"/>
      <c r="L85" s="270" t="s">
        <v>116</v>
      </c>
      <c r="M85" s="270" t="e">
        <f>IF(#REF!="Fixed",1,0)</f>
        <v>#REF!</v>
      </c>
      <c r="N85" s="270"/>
      <c r="O85" s="15" t="s">
        <v>115</v>
      </c>
      <c r="Q85" s="15">
        <v>3</v>
      </c>
      <c r="T85" s="270"/>
      <c r="U85" s="270"/>
      <c r="V85" s="271"/>
    </row>
    <row r="86" spans="11:48" ht="12.75" customHeight="1">
      <c r="K86" s="270"/>
      <c r="L86" s="270" t="s">
        <v>117</v>
      </c>
      <c r="M86" s="270" t="e">
        <f>IF(#REF!=5,1,0)</f>
        <v>#REF!</v>
      </c>
      <c r="N86" s="270"/>
      <c r="Q86" s="15">
        <v>5</v>
      </c>
      <c r="T86" s="270"/>
      <c r="U86" s="270"/>
      <c r="V86" s="266"/>
      <c r="AV86" s="16" t="s">
        <v>32</v>
      </c>
    </row>
    <row r="87" spans="1:48" ht="12.75">
      <c r="A87" s="130" t="s">
        <v>23</v>
      </c>
      <c r="D87" s="134">
        <f>D83-D85</f>
        <v>-18636.799999998566</v>
      </c>
      <c r="F87" s="213"/>
      <c r="G87" s="213"/>
      <c r="H87" s="213"/>
      <c r="I87" s="213"/>
      <c r="J87" s="213"/>
      <c r="K87" s="269"/>
      <c r="L87" s="270" t="s">
        <v>118</v>
      </c>
      <c r="M87" s="270" t="e">
        <f>SUM(M85:M86)</f>
        <v>#REF!</v>
      </c>
      <c r="N87" s="270"/>
      <c r="Q87" s="16" t="s">
        <v>134</v>
      </c>
      <c r="R87" s="16"/>
      <c r="S87" s="16"/>
      <c r="T87" s="270"/>
      <c r="U87" s="270"/>
      <c r="V87" s="266"/>
      <c r="AV87" s="15" t="s">
        <v>32</v>
      </c>
    </row>
    <row r="88" spans="6:22" ht="12.75" customHeight="1">
      <c r="F88" s="272"/>
      <c r="G88" s="272"/>
      <c r="H88" s="272"/>
      <c r="I88" s="272"/>
      <c r="J88" s="272"/>
      <c r="K88" s="269"/>
      <c r="L88" s="270"/>
      <c r="M88" s="270"/>
      <c r="N88" s="270"/>
      <c r="Q88" s="15" t="s">
        <v>133</v>
      </c>
      <c r="T88" s="270"/>
      <c r="U88" s="270"/>
      <c r="V88" s="266"/>
    </row>
    <row r="89" spans="1:22" ht="12.75" customHeight="1">
      <c r="A89" s="12" t="s">
        <v>201</v>
      </c>
      <c r="F89" s="272"/>
      <c r="G89" s="272"/>
      <c r="H89" s="272"/>
      <c r="I89" s="272"/>
      <c r="J89" s="272"/>
      <c r="K89" s="269"/>
      <c r="L89" s="270"/>
      <c r="M89" s="270"/>
      <c r="N89" s="270"/>
      <c r="O89" s="270"/>
      <c r="P89" s="270"/>
      <c r="Q89" s="270"/>
      <c r="R89" s="270"/>
      <c r="S89" s="270"/>
      <c r="T89" s="270"/>
      <c r="U89" s="270"/>
      <c r="V89" s="266"/>
    </row>
    <row r="90" spans="6:50" ht="12.75">
      <c r="F90" s="272"/>
      <c r="G90" s="272"/>
      <c r="H90" s="272"/>
      <c r="I90" s="272"/>
      <c r="J90" s="272"/>
      <c r="K90" s="269"/>
      <c r="L90" s="270"/>
      <c r="M90" s="270"/>
      <c r="N90" s="270"/>
      <c r="O90" s="270"/>
      <c r="P90" s="270"/>
      <c r="Q90" s="270"/>
      <c r="R90" s="270"/>
      <c r="S90" s="270"/>
      <c r="T90" s="270"/>
      <c r="U90" s="270"/>
      <c r="V90" s="266"/>
      <c r="AX90" s="19" t="s">
        <v>32</v>
      </c>
    </row>
    <row r="91" spans="1:22" ht="12.75">
      <c r="A91" s="130" t="s">
        <v>150</v>
      </c>
      <c r="D91" s="134">
        <f>D87/12</f>
        <v>-1553.0666666665472</v>
      </c>
      <c r="F91" s="272"/>
      <c r="G91" s="272"/>
      <c r="H91" s="272"/>
      <c r="I91" s="272"/>
      <c r="J91" s="272"/>
      <c r="K91" s="269"/>
      <c r="L91" s="270"/>
      <c r="M91" s="270"/>
      <c r="N91" s="270"/>
      <c r="O91" s="270"/>
      <c r="P91" s="270"/>
      <c r="Q91" s="270"/>
      <c r="R91" s="270"/>
      <c r="S91" s="270"/>
      <c r="T91" s="270"/>
      <c r="U91" s="270"/>
      <c r="V91" s="266"/>
    </row>
    <row r="92" spans="6:22" ht="12.75">
      <c r="F92" s="272"/>
      <c r="G92" s="272"/>
      <c r="H92" s="272"/>
      <c r="I92" s="272"/>
      <c r="J92" s="272"/>
      <c r="K92" s="273"/>
      <c r="L92" s="274"/>
      <c r="M92" s="274"/>
      <c r="N92" s="274"/>
      <c r="O92" s="274"/>
      <c r="P92" s="274"/>
      <c r="Q92" s="274"/>
      <c r="R92" s="274"/>
      <c r="S92" s="274"/>
      <c r="T92" s="274"/>
      <c r="U92" s="274"/>
      <c r="V92" s="272"/>
    </row>
    <row r="93" spans="1:22" ht="12.75">
      <c r="A93" s="275" t="s">
        <v>236</v>
      </c>
      <c r="D93" s="276">
        <f>D91*90%</f>
        <v>-1397.7599999998924</v>
      </c>
      <c r="K93" s="273"/>
      <c r="L93" s="274"/>
      <c r="M93" s="274"/>
      <c r="N93" s="274"/>
      <c r="O93" s="274"/>
      <c r="P93" s="274"/>
      <c r="Q93" s="274"/>
      <c r="R93" s="274"/>
      <c r="S93" s="274"/>
      <c r="T93" s="274"/>
      <c r="U93" s="274"/>
      <c r="V93" s="277"/>
    </row>
    <row r="94" spans="11:21" ht="12.75">
      <c r="K94" s="273"/>
      <c r="L94" s="274"/>
      <c r="M94" s="274"/>
      <c r="N94" s="274"/>
      <c r="O94" s="274"/>
      <c r="P94" s="274"/>
      <c r="Q94" s="274"/>
      <c r="R94" s="274"/>
      <c r="S94" s="274"/>
      <c r="T94" s="274"/>
      <c r="U94" s="274"/>
    </row>
    <row r="95" spans="1:48" ht="12.75" customHeight="1">
      <c r="A95" s="278" t="s">
        <v>330</v>
      </c>
      <c r="B95" s="279"/>
      <c r="C95" s="206"/>
      <c r="D95" s="206"/>
      <c r="E95" s="206"/>
      <c r="F95" s="206"/>
      <c r="G95" s="206"/>
      <c r="H95" s="206"/>
      <c r="I95" s="206"/>
      <c r="J95" s="279"/>
      <c r="K95" s="273"/>
      <c r="L95" s="274"/>
      <c r="M95" s="274"/>
      <c r="N95" s="274"/>
      <c r="O95" s="274"/>
      <c r="P95" s="274"/>
      <c r="Q95" s="274"/>
      <c r="R95" s="274"/>
      <c r="S95" s="274"/>
      <c r="T95" s="274"/>
      <c r="U95" s="274"/>
      <c r="AV95" s="16" t="s">
        <v>32</v>
      </c>
    </row>
    <row r="96" spans="1:48" ht="12.75">
      <c r="A96" s="279"/>
      <c r="B96" s="279"/>
      <c r="C96" s="279"/>
      <c r="D96" s="280"/>
      <c r="E96" s="279"/>
      <c r="F96" s="281"/>
      <c r="G96" s="281"/>
      <c r="H96" s="281"/>
      <c r="I96" s="279"/>
      <c r="J96" s="279"/>
      <c r="K96" s="282"/>
      <c r="L96" s="283"/>
      <c r="M96" s="283"/>
      <c r="N96" s="283"/>
      <c r="O96" s="283"/>
      <c r="P96" s="283"/>
      <c r="Q96" s="283"/>
      <c r="R96" s="283"/>
      <c r="S96" s="283"/>
      <c r="T96" s="283"/>
      <c r="U96" s="284"/>
      <c r="AV96" s="285"/>
    </row>
    <row r="97" spans="1:21" ht="15">
      <c r="A97" s="12" t="s">
        <v>209</v>
      </c>
      <c r="G97" s="286"/>
      <c r="H97" s="286"/>
      <c r="I97" s="286"/>
      <c r="J97" s="286"/>
      <c r="K97" s="287" t="s">
        <v>329</v>
      </c>
      <c r="L97" s="139"/>
      <c r="M97" s="139"/>
      <c r="N97" s="139"/>
      <c r="O97" s="286" t="s">
        <v>208</v>
      </c>
      <c r="P97" s="139"/>
      <c r="Q97" s="139"/>
      <c r="R97" s="274"/>
      <c r="S97" s="274"/>
      <c r="T97" s="274"/>
      <c r="U97" s="288"/>
    </row>
    <row r="98" spans="1:21" ht="12.75">
      <c r="A98" s="19"/>
      <c r="K98" s="289"/>
      <c r="L98" s="139"/>
      <c r="M98" s="139"/>
      <c r="N98" s="139"/>
      <c r="O98" s="139"/>
      <c r="P98" s="139"/>
      <c r="Q98" s="139"/>
      <c r="R98" s="139"/>
      <c r="S98" s="139"/>
      <c r="T98" s="139"/>
      <c r="U98" s="290"/>
    </row>
    <row r="99" spans="1:51" ht="12.75">
      <c r="A99" s="19" t="s">
        <v>202</v>
      </c>
      <c r="D99" s="1">
        <v>0</v>
      </c>
      <c r="F99" s="19" t="s">
        <v>358</v>
      </c>
      <c r="I99" s="26" t="s">
        <v>355</v>
      </c>
      <c r="K99" s="289"/>
      <c r="L99" s="139"/>
      <c r="M99" s="139"/>
      <c r="N99" s="139"/>
      <c r="O99" s="139"/>
      <c r="P99" s="291" t="s">
        <v>180</v>
      </c>
      <c r="Q99" s="291"/>
      <c r="R99" s="291"/>
      <c r="S99" s="194">
        <v>0</v>
      </c>
      <c r="T99" s="227" t="s">
        <v>140</v>
      </c>
      <c r="U99" s="290"/>
      <c r="AW99" s="19" t="s">
        <v>32</v>
      </c>
      <c r="AY99" s="19" t="s">
        <v>32</v>
      </c>
    </row>
    <row r="100" spans="11:21" ht="12.75">
      <c r="K100" s="292" t="s">
        <v>194</v>
      </c>
      <c r="L100" s="238"/>
      <c r="M100" s="238"/>
      <c r="N100" s="293">
        <f>IF(D99&lt;=S110,0,S110)</f>
        <v>0</v>
      </c>
      <c r="O100" s="139"/>
      <c r="P100" s="291" t="s">
        <v>4</v>
      </c>
      <c r="Q100" s="291"/>
      <c r="R100" s="294" t="s">
        <v>103</v>
      </c>
      <c r="S100" s="194">
        <v>0</v>
      </c>
      <c r="T100" s="227" t="s">
        <v>140</v>
      </c>
      <c r="U100" s="290"/>
    </row>
    <row r="101" spans="1:49" ht="12.75" customHeight="1">
      <c r="A101" s="130" t="str">
        <f>Income!N95</f>
        <v>Rate of tax applied to profits based on Input figure</v>
      </c>
      <c r="D101" s="295">
        <f>IF(I79=0,0,Income!O93)</f>
        <v>0</v>
      </c>
      <c r="F101" s="12" t="str">
        <f>IF(D101&gt;20%,"GROSS rental coverage of stressed payment must be 165% or greater","GROSS rental coverage of stressed payment must be 130% or greater")</f>
        <v>GROSS rental coverage of stressed payment must be 130% or greater</v>
      </c>
      <c r="K101" s="296" t="s">
        <v>198</v>
      </c>
      <c r="L101" s="279"/>
      <c r="M101" s="279"/>
      <c r="N101" s="147">
        <f>IF(D99&lt;=S110,0,(D99-N100))</f>
        <v>0</v>
      </c>
      <c r="O101" s="139"/>
      <c r="P101" s="291" t="s">
        <v>181</v>
      </c>
      <c r="Q101" s="291"/>
      <c r="R101" s="291"/>
      <c r="S101" s="194">
        <v>0</v>
      </c>
      <c r="T101" s="227" t="s">
        <v>140</v>
      </c>
      <c r="U101" s="290"/>
      <c r="AW101" s="19" t="s">
        <v>32</v>
      </c>
    </row>
    <row r="102" spans="11:21" ht="12.75" customHeight="1">
      <c r="K102" s="296"/>
      <c r="L102" s="279"/>
      <c r="M102" s="279"/>
      <c r="N102" s="280"/>
      <c r="O102" s="139"/>
      <c r="P102" s="291" t="s">
        <v>188</v>
      </c>
      <c r="Q102" s="291"/>
      <c r="R102" s="291"/>
      <c r="S102" s="194">
        <v>0</v>
      </c>
      <c r="T102" s="227" t="s">
        <v>140</v>
      </c>
      <c r="U102" s="290"/>
    </row>
    <row r="103" spans="1:49" ht="12.75">
      <c r="A103" s="12" t="s">
        <v>333</v>
      </c>
      <c r="K103" s="296" t="s">
        <v>197</v>
      </c>
      <c r="L103" s="279"/>
      <c r="M103" s="279"/>
      <c r="N103" s="147">
        <f>SUM(N101*D101)</f>
        <v>0</v>
      </c>
      <c r="O103" s="139"/>
      <c r="P103" s="291" t="s">
        <v>182</v>
      </c>
      <c r="Q103" s="291"/>
      <c r="R103" s="291"/>
      <c r="S103" s="194">
        <v>0</v>
      </c>
      <c r="T103" s="227" t="s">
        <v>140</v>
      </c>
      <c r="U103" s="290"/>
      <c r="AW103" s="297"/>
    </row>
    <row r="104" spans="11:21" ht="12.75" customHeight="1">
      <c r="K104" s="298" t="s">
        <v>238</v>
      </c>
      <c r="L104" s="279"/>
      <c r="M104" s="279"/>
      <c r="N104" s="147">
        <f>IF(N103&lt;=I79*20%,0,(I79*20%))</f>
        <v>0</v>
      </c>
      <c r="O104" s="139"/>
      <c r="P104" s="291" t="s">
        <v>183</v>
      </c>
      <c r="Q104" s="291"/>
      <c r="R104" s="291"/>
      <c r="S104" s="194">
        <v>0</v>
      </c>
      <c r="T104" s="227" t="s">
        <v>140</v>
      </c>
      <c r="U104" s="290"/>
    </row>
    <row r="105" spans="4:21" ht="12.75">
      <c r="D105" s="299" t="s">
        <v>203</v>
      </c>
      <c r="E105" s="238"/>
      <c r="I105" s="299" t="s">
        <v>204</v>
      </c>
      <c r="K105" s="300" t="s">
        <v>239</v>
      </c>
      <c r="L105" s="279"/>
      <c r="M105" s="279"/>
      <c r="N105" s="280"/>
      <c r="O105" s="139"/>
      <c r="P105" s="291" t="s">
        <v>184</v>
      </c>
      <c r="Q105" s="291"/>
      <c r="R105" s="291"/>
      <c r="S105" s="301">
        <f>J79/6</f>
        <v>0</v>
      </c>
      <c r="T105" s="27" t="s">
        <v>140</v>
      </c>
      <c r="U105" s="290"/>
    </row>
    <row r="106" spans="1:21" ht="12.75">
      <c r="A106" s="302" t="s">
        <v>328</v>
      </c>
      <c r="B106" s="279"/>
      <c r="C106" s="279"/>
      <c r="D106" s="147">
        <f>D99</f>
        <v>0</v>
      </c>
      <c r="E106" s="238"/>
      <c r="F106" s="302" t="s">
        <v>328</v>
      </c>
      <c r="G106" s="279"/>
      <c r="H106" s="279"/>
      <c r="I106" s="147">
        <f>D99</f>
        <v>0</v>
      </c>
      <c r="K106" s="296" t="s">
        <v>196</v>
      </c>
      <c r="L106" s="279"/>
      <c r="M106" s="279"/>
      <c r="N106" s="147">
        <f>IF(N103&lt;=I79*20%,0,(N103-N104))</f>
        <v>0</v>
      </c>
      <c r="O106" s="139"/>
      <c r="P106" s="291" t="s">
        <v>185</v>
      </c>
      <c r="Q106" s="291"/>
      <c r="R106" s="291"/>
      <c r="S106" s="194">
        <v>0</v>
      </c>
      <c r="T106" s="227" t="s">
        <v>140</v>
      </c>
      <c r="U106" s="290"/>
    </row>
    <row r="107" spans="1:21" ht="12.75">
      <c r="A107" s="19" t="s">
        <v>205</v>
      </c>
      <c r="B107" s="279"/>
      <c r="C107" s="279"/>
      <c r="D107" s="147">
        <f>J79</f>
        <v>0</v>
      </c>
      <c r="E107" s="238"/>
      <c r="F107" s="19" t="s">
        <v>206</v>
      </c>
      <c r="G107" s="279"/>
      <c r="H107" s="279"/>
      <c r="I107" s="147">
        <f>Y79</f>
        <v>0</v>
      </c>
      <c r="K107" s="296" t="s">
        <v>237</v>
      </c>
      <c r="L107" s="279"/>
      <c r="M107" s="279"/>
      <c r="N107" s="147">
        <f>IF(N106&lt;=0,0,N101-N106)</f>
        <v>0</v>
      </c>
      <c r="O107" s="139"/>
      <c r="P107" s="291" t="s">
        <v>186</v>
      </c>
      <c r="Q107" s="291"/>
      <c r="R107" s="291"/>
      <c r="S107" s="260">
        <v>12</v>
      </c>
      <c r="T107" s="27" t="s">
        <v>140</v>
      </c>
      <c r="U107" s="290"/>
    </row>
    <row r="108" spans="1:21" ht="12.75">
      <c r="A108" s="19" t="s">
        <v>207</v>
      </c>
      <c r="B108" s="279"/>
      <c r="C108" s="279"/>
      <c r="D108" s="303" t="e">
        <f>SUM(D106/D107)</f>
        <v>#DIV/0!</v>
      </c>
      <c r="E108" s="304" t="e">
        <f>IF(D108&gt;=M125,L116,L117)</f>
        <v>#DIV/0!</v>
      </c>
      <c r="F108" s="19" t="s">
        <v>207</v>
      </c>
      <c r="G108" s="279"/>
      <c r="H108" s="279"/>
      <c r="I108" s="303" t="e">
        <f>SUM(I106/I107)</f>
        <v>#DIV/0!</v>
      </c>
      <c r="J108" s="203" t="e">
        <f>IF(I108&gt;=M125,L116,L117)</f>
        <v>#DIV/0!</v>
      </c>
      <c r="K108" s="289"/>
      <c r="L108" s="139"/>
      <c r="M108" s="139"/>
      <c r="N108" s="139"/>
      <c r="O108" s="139"/>
      <c r="P108" s="291" t="s">
        <v>187</v>
      </c>
      <c r="Q108" s="291"/>
      <c r="R108" s="291"/>
      <c r="S108" s="194">
        <v>0</v>
      </c>
      <c r="T108" s="227" t="s">
        <v>140</v>
      </c>
      <c r="U108" s="290"/>
    </row>
    <row r="109" spans="11:49" ht="12.75">
      <c r="K109" s="289"/>
      <c r="L109" s="139"/>
      <c r="M109" s="139"/>
      <c r="N109" s="139"/>
      <c r="O109" s="139"/>
      <c r="P109" s="291" t="s">
        <v>189</v>
      </c>
      <c r="Q109" s="291"/>
      <c r="R109" s="291"/>
      <c r="S109" s="194">
        <v>0</v>
      </c>
      <c r="T109" s="227" t="s">
        <v>140</v>
      </c>
      <c r="U109" s="290"/>
      <c r="AW109" s="19" t="s">
        <v>32</v>
      </c>
    </row>
    <row r="110" spans="1:31" ht="12.75">
      <c r="A110" s="12" t="s">
        <v>334</v>
      </c>
      <c r="J110" s="279"/>
      <c r="K110" s="289"/>
      <c r="L110" s="139"/>
      <c r="M110" s="139"/>
      <c r="N110" s="139"/>
      <c r="O110" s="139"/>
      <c r="P110" s="305" t="s">
        <v>190</v>
      </c>
      <c r="Q110" s="306"/>
      <c r="R110" s="306"/>
      <c r="S110" s="301">
        <f>S99+SUM(S100/12*10)+SUM(S101:S109)</f>
        <v>12</v>
      </c>
      <c r="T110" s="307"/>
      <c r="U110" s="290"/>
      <c r="AB110" s="16" t="s">
        <v>32</v>
      </c>
      <c r="AC110" s="16"/>
      <c r="AD110" s="16"/>
      <c r="AE110" s="16"/>
    </row>
    <row r="111" spans="1:21" ht="12.75">
      <c r="A111" s="234"/>
      <c r="E111" s="238"/>
      <c r="F111" s="238"/>
      <c r="G111" s="238"/>
      <c r="H111" s="238"/>
      <c r="I111" s="238"/>
      <c r="J111" s="279"/>
      <c r="K111" s="289"/>
      <c r="L111" s="139"/>
      <c r="M111" s="139"/>
      <c r="N111" s="139"/>
      <c r="O111" s="139"/>
      <c r="P111" s="281"/>
      <c r="Q111" s="281"/>
      <c r="R111" s="281"/>
      <c r="S111" s="279"/>
      <c r="T111" s="279"/>
      <c r="U111" s="290"/>
    </row>
    <row r="112" spans="4:21" ht="12.75">
      <c r="D112" s="299" t="s">
        <v>203</v>
      </c>
      <c r="E112" s="279"/>
      <c r="F112" s="130"/>
      <c r="G112" s="130"/>
      <c r="H112" s="130"/>
      <c r="I112" s="308" t="s">
        <v>204</v>
      </c>
      <c r="J112" s="279"/>
      <c r="K112" s="309"/>
      <c r="L112" s="310"/>
      <c r="M112" s="310"/>
      <c r="N112" s="310"/>
      <c r="O112" s="310"/>
      <c r="P112" s="310"/>
      <c r="Q112" s="310"/>
      <c r="R112" s="310"/>
      <c r="S112" s="310"/>
      <c r="T112" s="310"/>
      <c r="U112" s="311"/>
    </row>
    <row r="113" spans="1:10" ht="12.75">
      <c r="A113" s="275" t="s">
        <v>352</v>
      </c>
      <c r="B113" s="279"/>
      <c r="C113" s="279"/>
      <c r="D113" s="312">
        <f>D99</f>
        <v>0</v>
      </c>
      <c r="E113" s="279"/>
      <c r="F113" s="275" t="s">
        <v>352</v>
      </c>
      <c r="G113" s="279"/>
      <c r="H113" s="279"/>
      <c r="I113" s="312">
        <f>D99</f>
        <v>0</v>
      </c>
      <c r="J113" s="279"/>
    </row>
    <row r="114" spans="1:48" ht="12.75">
      <c r="A114" s="275" t="s">
        <v>353</v>
      </c>
      <c r="D114" s="153">
        <f>D93</f>
        <v>-1397.7599999998924</v>
      </c>
      <c r="E114" s="279"/>
      <c r="F114" s="275" t="s">
        <v>353</v>
      </c>
      <c r="G114" s="130"/>
      <c r="H114" s="130"/>
      <c r="I114" s="312">
        <f>D93</f>
        <v>-1397.7599999998924</v>
      </c>
      <c r="L114" s="119" t="s">
        <v>218</v>
      </c>
      <c r="AV114" s="285"/>
    </row>
    <row r="115" spans="1:16" ht="12.75">
      <c r="A115" s="19" t="s">
        <v>205</v>
      </c>
      <c r="D115" s="147">
        <f>J79</f>
        <v>0</v>
      </c>
      <c r="F115" s="19" t="s">
        <v>206</v>
      </c>
      <c r="G115" s="130"/>
      <c r="H115" s="130"/>
      <c r="I115" s="147">
        <f>Y79</f>
        <v>0</v>
      </c>
      <c r="K115" s="149"/>
      <c r="N115" s="222"/>
      <c r="O115" s="222"/>
      <c r="P115" s="222"/>
    </row>
    <row r="116" spans="1:16" ht="12.75">
      <c r="A116" s="19" t="s">
        <v>195</v>
      </c>
      <c r="D116" s="303" t="e">
        <f>SUM(D113+D114)/D115</f>
        <v>#DIV/0!</v>
      </c>
      <c r="E116" s="203" t="e">
        <f>IF(D116&gt;=M125,L116,L117)</f>
        <v>#DIV/0!</v>
      </c>
      <c r="F116" s="19" t="s">
        <v>195</v>
      </c>
      <c r="I116" s="303" t="e">
        <f>SUM(I113+I114)/I115</f>
        <v>#DIV/0!</v>
      </c>
      <c r="J116" s="203" t="e">
        <f>IF(I116&gt;=M125,L116,L117)</f>
        <v>#DIV/0!</v>
      </c>
      <c r="K116" s="149"/>
      <c r="L116" s="16" t="s">
        <v>219</v>
      </c>
      <c r="N116" s="222"/>
      <c r="O116" s="222"/>
      <c r="P116" s="222"/>
    </row>
    <row r="117" spans="11:16" ht="12.75">
      <c r="K117" s="149"/>
      <c r="L117" s="16" t="s">
        <v>220</v>
      </c>
      <c r="N117" s="222"/>
      <c r="O117" s="222"/>
      <c r="P117" s="222"/>
    </row>
    <row r="118" spans="1:16" ht="12.75">
      <c r="A118" s="19" t="s">
        <v>213</v>
      </c>
      <c r="D118" s="8" t="s">
        <v>141</v>
      </c>
      <c r="F118" s="214" t="s">
        <v>191</v>
      </c>
      <c r="G118" s="238"/>
      <c r="H118" s="130"/>
      <c r="I118" s="7" t="s">
        <v>141</v>
      </c>
      <c r="K118" s="149"/>
      <c r="N118" s="222"/>
      <c r="O118" s="222"/>
      <c r="P118" s="222"/>
    </row>
    <row r="119" spans="5:16" ht="12.75">
      <c r="E119" s="238"/>
      <c r="F119" s="238"/>
      <c r="G119" s="238"/>
      <c r="H119" s="238"/>
      <c r="I119" s="238"/>
      <c r="K119" s="149"/>
      <c r="L119" s="119" t="s">
        <v>323</v>
      </c>
      <c r="M119" s="16"/>
      <c r="N119" s="16"/>
      <c r="O119" s="16"/>
      <c r="P119" s="222"/>
    </row>
    <row r="120" spans="1:16" ht="12.75">
      <c r="A120" s="206" t="str">
        <f>IF(D118="No","ASSESS AS SINGLE BUY-TO-LET","LBS DOES NOT ACCEPT PORTFOLIO LANDLORDS")</f>
        <v>ASSESS AS SINGLE BUY-TO-LET</v>
      </c>
      <c r="E120" s="238"/>
      <c r="F120" s="238"/>
      <c r="G120" s="238"/>
      <c r="H120" s="238"/>
      <c r="I120" s="238"/>
      <c r="K120" s="149"/>
      <c r="L120" s="16"/>
      <c r="M120" s="16"/>
      <c r="N120" s="16"/>
      <c r="O120" s="16"/>
      <c r="P120" s="222"/>
    </row>
    <row r="121" spans="11:16" ht="12.75">
      <c r="K121" s="149"/>
      <c r="L121" s="16" t="s">
        <v>324</v>
      </c>
      <c r="M121" s="313">
        <v>1.3</v>
      </c>
      <c r="N121" s="16"/>
      <c r="O121" s="16"/>
      <c r="P121" s="222"/>
    </row>
    <row r="122" spans="1:15" ht="12.75">
      <c r="A122" s="19" t="s">
        <v>332</v>
      </c>
      <c r="D122" s="153" t="e">
        <f>SUM(D99/M125)*12/H71</f>
        <v>#DIV/0!</v>
      </c>
      <c r="K122" s="149"/>
      <c r="L122" s="16" t="s">
        <v>325</v>
      </c>
      <c r="M122" s="313">
        <v>1.65</v>
      </c>
      <c r="N122" s="16"/>
      <c r="O122" s="16"/>
    </row>
    <row r="123" spans="11:15" ht="12.75">
      <c r="K123" s="149"/>
      <c r="L123" s="16" t="s">
        <v>326</v>
      </c>
      <c r="M123" s="313">
        <v>1.65</v>
      </c>
      <c r="N123" s="16"/>
      <c r="O123" s="16"/>
    </row>
    <row r="124" spans="11:48" ht="12.75">
      <c r="K124" s="149"/>
      <c r="L124" s="16"/>
      <c r="M124" s="16"/>
      <c r="N124" s="16"/>
      <c r="O124" s="16"/>
      <c r="AV124" s="16" t="s">
        <v>32</v>
      </c>
    </row>
    <row r="125" spans="11:15" ht="12.75">
      <c r="K125" s="149"/>
      <c r="L125" s="16" t="s">
        <v>327</v>
      </c>
      <c r="M125" s="314" t="b">
        <f>IF(D101=20%,M121,IF(D101=40%,M122,IF(D101=45%,M123)))</f>
        <v>0</v>
      </c>
      <c r="N125" s="16"/>
      <c r="O125" s="16"/>
    </row>
    <row r="126" ht="12.75">
      <c r="K126" s="149"/>
    </row>
    <row r="127" ht="12.75">
      <c r="K127" s="149"/>
    </row>
    <row r="128" spans="11:12" ht="12.75">
      <c r="K128" s="149"/>
      <c r="L128" s="14" t="s">
        <v>354</v>
      </c>
    </row>
    <row r="129" spans="10:13" ht="12.75">
      <c r="J129" s="279"/>
      <c r="K129" s="149"/>
      <c r="L129" s="16" t="s">
        <v>355</v>
      </c>
      <c r="M129" s="17">
        <v>0.2</v>
      </c>
    </row>
    <row r="130" spans="2:13" ht="12.75">
      <c r="B130" s="279"/>
      <c r="C130" s="279"/>
      <c r="G130" s="279"/>
      <c r="H130" s="279"/>
      <c r="J130" s="279"/>
      <c r="K130" s="149"/>
      <c r="L130" s="16" t="s">
        <v>356</v>
      </c>
      <c r="M130" s="18">
        <v>0.4</v>
      </c>
    </row>
    <row r="131" spans="1:13" ht="12.75">
      <c r="A131" s="130" t="s">
        <v>32</v>
      </c>
      <c r="F131" s="19"/>
      <c r="G131" s="130"/>
      <c r="H131" s="130"/>
      <c r="I131" s="130" t="s">
        <v>32</v>
      </c>
      <c r="K131" s="149"/>
      <c r="L131" s="16" t="s">
        <v>357</v>
      </c>
      <c r="M131" s="18">
        <v>0.45</v>
      </c>
    </row>
    <row r="132" spans="11:13" ht="13.5" thickBot="1">
      <c r="K132" s="149"/>
      <c r="L132" s="16" t="s">
        <v>359</v>
      </c>
      <c r="M132" s="315">
        <f>IF(I99=L129,M129,IF(I99=L130,M130,IF(I99=L131,M131)))</f>
        <v>0.2</v>
      </c>
    </row>
    <row r="133" spans="10:11" ht="13.5" thickTop="1">
      <c r="J133" s="238"/>
      <c r="K133" s="149"/>
    </row>
    <row r="134" spans="10:11" ht="13.5" thickBot="1">
      <c r="J134" s="238"/>
      <c r="K134" s="149"/>
    </row>
    <row r="135" spans="6:15" ht="12.75">
      <c r="F135" s="275"/>
      <c r="I135" s="276"/>
      <c r="J135" s="238"/>
      <c r="K135" s="149"/>
      <c r="L135" s="406" t="s">
        <v>362</v>
      </c>
      <c r="M135" s="407"/>
      <c r="N135" s="407"/>
      <c r="O135" s="408"/>
    </row>
    <row r="136" spans="9:15" ht="12.75">
      <c r="I136" s="279"/>
      <c r="J136" s="238"/>
      <c r="K136" s="149"/>
      <c r="L136" s="316" t="s">
        <v>363</v>
      </c>
      <c r="M136" s="279"/>
      <c r="N136" s="317" t="s">
        <v>364</v>
      </c>
      <c r="O136" s="318" t="s">
        <v>365</v>
      </c>
    </row>
    <row r="137" spans="5:15" ht="12.75">
      <c r="E137" s="319"/>
      <c r="F137" s="275"/>
      <c r="G137" s="319"/>
      <c r="H137" s="319"/>
      <c r="I137" s="276"/>
      <c r="J137" s="238"/>
      <c r="K137" s="149"/>
      <c r="L137" s="320" t="s">
        <v>96</v>
      </c>
      <c r="M137" s="279"/>
      <c r="N137" s="279" t="s">
        <v>366</v>
      </c>
      <c r="O137" s="321">
        <v>0</v>
      </c>
    </row>
    <row r="138" spans="10:15" ht="12.75">
      <c r="J138" s="279"/>
      <c r="K138" s="149"/>
      <c r="L138" s="322" t="s">
        <v>355</v>
      </c>
      <c r="M138" s="279"/>
      <c r="N138" s="291" t="s">
        <v>367</v>
      </c>
      <c r="O138" s="321">
        <v>0.2</v>
      </c>
    </row>
    <row r="139" spans="10:15" ht="12.75">
      <c r="J139" s="279"/>
      <c r="K139" s="149"/>
      <c r="L139" s="322" t="s">
        <v>356</v>
      </c>
      <c r="M139" s="279"/>
      <c r="N139" s="291" t="s">
        <v>368</v>
      </c>
      <c r="O139" s="321">
        <v>0.4</v>
      </c>
    </row>
    <row r="140" spans="10:15" ht="13.5" thickBot="1">
      <c r="J140" s="279"/>
      <c r="K140" s="149"/>
      <c r="L140" s="323" t="s">
        <v>357</v>
      </c>
      <c r="M140" s="324"/>
      <c r="N140" s="325" t="s">
        <v>369</v>
      </c>
      <c r="O140" s="326">
        <v>0.45</v>
      </c>
    </row>
    <row r="141" spans="10:11" ht="12.75">
      <c r="J141" s="279"/>
      <c r="K141" s="149"/>
    </row>
    <row r="142" spans="10:11" ht="12.75">
      <c r="J142" s="279"/>
      <c r="K142" s="149"/>
    </row>
    <row r="143" spans="4:11" ht="12.75">
      <c r="D143" s="130"/>
      <c r="K143" s="149"/>
    </row>
    <row r="144" spans="4:11" ht="12.75">
      <c r="D144" s="130"/>
      <c r="K144" s="149"/>
    </row>
    <row r="145" spans="4:11" ht="12.75">
      <c r="D145" s="130"/>
      <c r="K145" s="149"/>
    </row>
    <row r="146" spans="4:11" ht="12.75">
      <c r="D146" s="130"/>
      <c r="K146" s="149"/>
    </row>
    <row r="147" spans="4:11" ht="12.75">
      <c r="D147" s="130"/>
      <c r="K147" s="149"/>
    </row>
    <row r="148" spans="4:11" ht="12.75">
      <c r="D148" s="130"/>
      <c r="K148" s="149"/>
    </row>
    <row r="149" spans="4:11" ht="12.75">
      <c r="D149" s="130"/>
      <c r="K149" s="149"/>
    </row>
    <row r="150" spans="4:11" ht="12.75">
      <c r="D150" s="130"/>
      <c r="F150" s="130"/>
      <c r="G150" s="130"/>
      <c r="H150" s="130"/>
      <c r="K150" s="149"/>
    </row>
    <row r="151" spans="4:11" ht="12.75">
      <c r="D151" s="130"/>
      <c r="F151" s="130"/>
      <c r="G151" s="130"/>
      <c r="H151" s="130"/>
      <c r="K151" s="149"/>
    </row>
    <row r="152" spans="4:11" ht="12.75">
      <c r="D152" s="130"/>
      <c r="K152" s="149"/>
    </row>
    <row r="153" spans="5:11" ht="12.75">
      <c r="E153" s="279"/>
      <c r="F153" s="327"/>
      <c r="G153" s="327"/>
      <c r="H153" s="327"/>
      <c r="I153" s="327"/>
      <c r="K153" s="149"/>
    </row>
    <row r="154" spans="4:13" ht="15">
      <c r="D154" s="130"/>
      <c r="J154" s="319"/>
      <c r="K154" s="159" t="s">
        <v>65</v>
      </c>
      <c r="L154" s="319" t="s">
        <v>113</v>
      </c>
      <c r="M154" s="328" t="s">
        <v>3</v>
      </c>
    </row>
    <row r="155" spans="4:22" ht="12.75">
      <c r="D155" s="130"/>
      <c r="K155" s="149"/>
      <c r="N155" s="130"/>
      <c r="O155" s="130"/>
      <c r="P155" s="130"/>
      <c r="Q155" s="130"/>
      <c r="R155" s="130"/>
      <c r="S155" s="130"/>
      <c r="T155" s="130"/>
      <c r="U155" s="130"/>
      <c r="V155" s="130"/>
    </row>
    <row r="156" spans="4:22" ht="12.75">
      <c r="D156" s="130"/>
      <c r="K156" s="149"/>
      <c r="N156" s="130"/>
      <c r="O156" s="130"/>
      <c r="P156" s="130"/>
      <c r="Q156" s="130"/>
      <c r="R156" s="130"/>
      <c r="S156" s="130"/>
      <c r="T156" s="130"/>
      <c r="U156" s="130"/>
      <c r="V156" s="130"/>
    </row>
    <row r="157" spans="4:22" ht="12.75">
      <c r="D157" s="130"/>
      <c r="K157" s="149"/>
      <c r="N157" s="130"/>
      <c r="O157" s="130"/>
      <c r="P157" s="130"/>
      <c r="Q157" s="130"/>
      <c r="R157" s="130"/>
      <c r="S157" s="130"/>
      <c r="T157" s="130"/>
      <c r="U157" s="130"/>
      <c r="V157" s="130"/>
    </row>
    <row r="158" spans="4:22" ht="12.75">
      <c r="D158" s="130"/>
      <c r="K158" s="149"/>
      <c r="N158" s="130"/>
      <c r="O158" s="130"/>
      <c r="P158" s="130"/>
      <c r="Q158" s="130"/>
      <c r="R158" s="130"/>
      <c r="S158" s="130"/>
      <c r="T158" s="130"/>
      <c r="U158" s="130"/>
      <c r="V158" s="130"/>
    </row>
    <row r="159" spans="4:22" ht="12.75">
      <c r="D159" s="130"/>
      <c r="K159" s="149"/>
      <c r="N159" s="130"/>
      <c r="O159" s="130"/>
      <c r="P159" s="130"/>
      <c r="Q159" s="130"/>
      <c r="R159" s="130"/>
      <c r="S159" s="130"/>
      <c r="T159" s="130"/>
      <c r="U159" s="130"/>
      <c r="V159" s="130"/>
    </row>
    <row r="160" spans="4:22" ht="12.75">
      <c r="D160" s="130"/>
      <c r="K160" s="149"/>
      <c r="N160" s="130"/>
      <c r="O160" s="130"/>
      <c r="P160" s="130"/>
      <c r="Q160" s="130"/>
      <c r="R160" s="130"/>
      <c r="S160" s="130"/>
      <c r="T160" s="130"/>
      <c r="U160" s="130"/>
      <c r="V160" s="130"/>
    </row>
    <row r="161" spans="4:22" ht="12.75">
      <c r="D161" s="130"/>
      <c r="F161" s="130"/>
      <c r="G161" s="130"/>
      <c r="H161" s="130"/>
      <c r="K161" s="149"/>
      <c r="L161" s="130"/>
      <c r="M161" s="130"/>
      <c r="N161" s="130"/>
      <c r="O161" s="130"/>
      <c r="P161" s="130"/>
      <c r="Q161" s="130"/>
      <c r="R161" s="130"/>
      <c r="S161" s="130"/>
      <c r="T161" s="130"/>
      <c r="U161" s="130"/>
      <c r="V161" s="130"/>
    </row>
    <row r="162" spans="4:22" ht="12.75">
      <c r="D162" s="130"/>
      <c r="F162" s="130"/>
      <c r="G162" s="130"/>
      <c r="H162" s="130"/>
      <c r="K162" s="149"/>
      <c r="L162" s="130"/>
      <c r="M162" s="130"/>
      <c r="N162" s="130"/>
      <c r="O162" s="130"/>
      <c r="P162" s="130"/>
      <c r="Q162" s="130"/>
      <c r="R162" s="130"/>
      <c r="S162" s="130"/>
      <c r="T162" s="130"/>
      <c r="U162" s="130"/>
      <c r="V162" s="130"/>
    </row>
    <row r="163" spans="4:22" ht="12.75">
      <c r="D163" s="130"/>
      <c r="F163" s="130"/>
      <c r="G163" s="130"/>
      <c r="H163" s="130"/>
      <c r="K163" s="149"/>
      <c r="L163" s="130"/>
      <c r="M163" s="130"/>
      <c r="N163" s="130"/>
      <c r="O163" s="130"/>
      <c r="P163" s="130"/>
      <c r="Q163" s="130"/>
      <c r="R163" s="130"/>
      <c r="S163" s="130"/>
      <c r="T163" s="130"/>
      <c r="U163" s="130"/>
      <c r="V163" s="130"/>
    </row>
    <row r="164" spans="4:22" ht="12.75">
      <c r="D164" s="130"/>
      <c r="F164" s="130"/>
      <c r="G164" s="130"/>
      <c r="H164" s="130"/>
      <c r="K164" s="149"/>
      <c r="L164" s="130"/>
      <c r="M164" s="130"/>
      <c r="N164" s="130"/>
      <c r="O164" s="130"/>
      <c r="P164" s="130"/>
      <c r="Q164" s="130"/>
      <c r="R164" s="130"/>
      <c r="S164" s="130"/>
      <c r="T164" s="130"/>
      <c r="U164" s="130"/>
      <c r="V164" s="130"/>
    </row>
    <row r="165" spans="4:22" ht="12.75">
      <c r="D165" s="130"/>
      <c r="F165" s="130"/>
      <c r="G165" s="130"/>
      <c r="H165" s="130"/>
      <c r="K165" s="149"/>
      <c r="L165" s="130"/>
      <c r="M165" s="130"/>
      <c r="N165" s="130"/>
      <c r="O165" s="130"/>
      <c r="P165" s="130"/>
      <c r="Q165" s="130"/>
      <c r="R165" s="130"/>
      <c r="S165" s="130"/>
      <c r="T165" s="130"/>
      <c r="U165" s="130"/>
      <c r="V165" s="130"/>
    </row>
    <row r="166" spans="4:22" ht="12.75">
      <c r="D166" s="130"/>
      <c r="F166" s="130"/>
      <c r="G166" s="130"/>
      <c r="H166" s="130"/>
      <c r="K166" s="149"/>
      <c r="L166" s="130"/>
      <c r="M166" s="130"/>
      <c r="N166" s="130"/>
      <c r="O166" s="130"/>
      <c r="P166" s="130"/>
      <c r="Q166" s="130"/>
      <c r="R166" s="130"/>
      <c r="S166" s="130"/>
      <c r="T166" s="130"/>
      <c r="U166" s="130"/>
      <c r="V166" s="130"/>
    </row>
    <row r="167" spans="4:22" ht="12.75">
      <c r="D167" s="130"/>
      <c r="F167" s="130"/>
      <c r="G167" s="130"/>
      <c r="H167" s="130"/>
      <c r="K167" s="149"/>
      <c r="L167" s="130"/>
      <c r="M167" s="130"/>
      <c r="N167" s="130"/>
      <c r="O167" s="130"/>
      <c r="P167" s="130"/>
      <c r="Q167" s="130"/>
      <c r="R167" s="130"/>
      <c r="S167" s="130"/>
      <c r="T167" s="130"/>
      <c r="U167" s="130"/>
      <c r="V167" s="130"/>
    </row>
    <row r="168" spans="4:22" ht="12.75">
      <c r="D168" s="130"/>
      <c r="F168" s="130"/>
      <c r="G168" s="130"/>
      <c r="H168" s="130"/>
      <c r="K168" s="149"/>
      <c r="L168" s="130"/>
      <c r="M168" s="130"/>
      <c r="N168" s="130"/>
      <c r="O168" s="130"/>
      <c r="P168" s="130"/>
      <c r="Q168" s="130"/>
      <c r="R168" s="130"/>
      <c r="S168" s="130"/>
      <c r="T168" s="130"/>
      <c r="U168" s="130"/>
      <c r="V168" s="130"/>
    </row>
    <row r="169" spans="4:22" ht="12.75">
      <c r="D169" s="130"/>
      <c r="F169" s="130"/>
      <c r="G169" s="130"/>
      <c r="H169" s="130"/>
      <c r="K169" s="149"/>
      <c r="L169" s="130"/>
      <c r="M169" s="130"/>
      <c r="N169" s="130"/>
      <c r="O169" s="130"/>
      <c r="P169" s="130"/>
      <c r="Q169" s="130"/>
      <c r="R169" s="130"/>
      <c r="S169" s="130"/>
      <c r="T169" s="130"/>
      <c r="U169" s="130"/>
      <c r="V169" s="130"/>
    </row>
    <row r="170" spans="4:22" ht="12.75">
      <c r="D170" s="130"/>
      <c r="F170" s="130"/>
      <c r="G170" s="130"/>
      <c r="H170" s="130"/>
      <c r="K170" s="149"/>
      <c r="L170" s="130"/>
      <c r="M170" s="130"/>
      <c r="N170" s="130"/>
      <c r="O170" s="130"/>
      <c r="P170" s="130"/>
      <c r="Q170" s="130"/>
      <c r="R170" s="130"/>
      <c r="S170" s="130"/>
      <c r="T170" s="130"/>
      <c r="U170" s="130"/>
      <c r="V170" s="130"/>
    </row>
    <row r="171" spans="4:22" ht="12.75">
      <c r="D171" s="19" t="s">
        <v>32</v>
      </c>
      <c r="F171" s="130"/>
      <c r="G171" s="130"/>
      <c r="H171" s="130"/>
      <c r="K171" s="149"/>
      <c r="L171" s="130"/>
      <c r="M171" s="130"/>
      <c r="N171" s="130"/>
      <c r="O171" s="130"/>
      <c r="P171" s="130"/>
      <c r="Q171" s="130"/>
      <c r="R171" s="130"/>
      <c r="S171" s="130"/>
      <c r="T171" s="130"/>
      <c r="U171" s="130"/>
      <c r="V171" s="130"/>
    </row>
    <row r="172" spans="4:22" ht="12.75">
      <c r="D172" s="130"/>
      <c r="F172" s="130"/>
      <c r="G172" s="130"/>
      <c r="H172" s="130"/>
      <c r="K172" s="149"/>
      <c r="L172" s="130"/>
      <c r="M172" s="130"/>
      <c r="N172" s="130"/>
      <c r="O172" s="130"/>
      <c r="P172" s="130"/>
      <c r="Q172" s="130"/>
      <c r="R172" s="130"/>
      <c r="S172" s="130"/>
      <c r="T172" s="130"/>
      <c r="U172" s="130"/>
      <c r="V172" s="130"/>
    </row>
    <row r="173" spans="4:22" ht="12.75">
      <c r="D173" s="130"/>
      <c r="F173" s="130"/>
      <c r="G173" s="130"/>
      <c r="H173" s="130"/>
      <c r="K173" s="149"/>
      <c r="L173" s="130"/>
      <c r="M173" s="130"/>
      <c r="N173" s="130"/>
      <c r="O173" s="130"/>
      <c r="P173" s="130"/>
      <c r="Q173" s="130"/>
      <c r="R173" s="130"/>
      <c r="S173" s="130"/>
      <c r="T173" s="130"/>
      <c r="U173" s="130"/>
      <c r="V173" s="130"/>
    </row>
    <row r="174" spans="4:22" ht="12.75">
      <c r="D174" s="130"/>
      <c r="F174" s="130"/>
      <c r="G174" s="130"/>
      <c r="H174" s="130"/>
      <c r="K174" s="149"/>
      <c r="L174" s="130"/>
      <c r="M174" s="130"/>
      <c r="N174" s="130"/>
      <c r="O174" s="130"/>
      <c r="P174" s="130"/>
      <c r="Q174" s="130"/>
      <c r="R174" s="130"/>
      <c r="S174" s="130"/>
      <c r="T174" s="130"/>
      <c r="U174" s="130"/>
      <c r="V174" s="130"/>
    </row>
    <row r="175" spans="4:22" ht="12.75">
      <c r="D175" s="130"/>
      <c r="F175" s="130"/>
      <c r="G175" s="130"/>
      <c r="H175" s="130"/>
      <c r="K175" s="149"/>
      <c r="L175" s="130"/>
      <c r="M175" s="130"/>
      <c r="N175" s="130"/>
      <c r="O175" s="130"/>
      <c r="P175" s="130"/>
      <c r="Q175" s="130"/>
      <c r="R175" s="130"/>
      <c r="S175" s="130"/>
      <c r="T175" s="130"/>
      <c r="U175" s="130"/>
      <c r="V175" s="130"/>
    </row>
    <row r="176" spans="4:22" ht="12.75">
      <c r="D176" s="130"/>
      <c r="F176" s="130"/>
      <c r="G176" s="130"/>
      <c r="H176" s="130"/>
      <c r="K176" s="149"/>
      <c r="L176" s="130"/>
      <c r="M176" s="130"/>
      <c r="N176" s="130"/>
      <c r="O176" s="130"/>
      <c r="P176" s="130"/>
      <c r="Q176" s="130"/>
      <c r="R176" s="130"/>
      <c r="S176" s="130"/>
      <c r="T176" s="130"/>
      <c r="U176" s="130"/>
      <c r="V176" s="130"/>
    </row>
    <row r="177" spans="4:22" ht="12.75">
      <c r="D177" s="130"/>
      <c r="F177" s="130"/>
      <c r="G177" s="130"/>
      <c r="H177" s="130"/>
      <c r="K177" s="149"/>
      <c r="L177" s="130"/>
      <c r="M177" s="130"/>
      <c r="N177" s="130"/>
      <c r="O177" s="130"/>
      <c r="P177" s="130"/>
      <c r="Q177" s="130"/>
      <c r="R177" s="130"/>
      <c r="S177" s="130"/>
      <c r="T177" s="130"/>
      <c r="U177" s="130"/>
      <c r="V177" s="130"/>
    </row>
    <row r="178" spans="4:22" ht="12.75">
      <c r="D178" s="130"/>
      <c r="F178" s="130"/>
      <c r="G178" s="130"/>
      <c r="H178" s="130"/>
      <c r="K178" s="149"/>
      <c r="L178" s="130"/>
      <c r="M178" s="130"/>
      <c r="N178" s="130"/>
      <c r="O178" s="130"/>
      <c r="P178" s="130"/>
      <c r="Q178" s="130"/>
      <c r="R178" s="130"/>
      <c r="S178" s="130"/>
      <c r="T178" s="130"/>
      <c r="U178" s="130"/>
      <c r="V178" s="130"/>
    </row>
    <row r="179" spans="4:22" ht="12.75">
      <c r="D179" s="130"/>
      <c r="F179" s="130"/>
      <c r="G179" s="130"/>
      <c r="H179" s="130"/>
      <c r="K179" s="149"/>
      <c r="L179" s="130"/>
      <c r="M179" s="130"/>
      <c r="N179" s="130"/>
      <c r="O179" s="130"/>
      <c r="P179" s="130"/>
      <c r="Q179" s="130"/>
      <c r="R179" s="130"/>
      <c r="S179" s="130"/>
      <c r="T179" s="130"/>
      <c r="U179" s="130"/>
      <c r="V179" s="130"/>
    </row>
    <row r="180" spans="4:22" ht="12.75">
      <c r="D180" s="130"/>
      <c r="F180" s="130"/>
      <c r="G180" s="130"/>
      <c r="H180" s="130"/>
      <c r="K180" s="149"/>
      <c r="L180" s="130"/>
      <c r="M180" s="130"/>
      <c r="N180" s="130"/>
      <c r="O180" s="130"/>
      <c r="P180" s="130"/>
      <c r="Q180" s="130"/>
      <c r="R180" s="130"/>
      <c r="S180" s="130"/>
      <c r="T180" s="130"/>
      <c r="U180" s="130"/>
      <c r="V180" s="130"/>
    </row>
    <row r="181" spans="4:22" ht="12.75">
      <c r="D181" s="130"/>
      <c r="F181" s="130"/>
      <c r="G181" s="130"/>
      <c r="H181" s="130"/>
      <c r="K181" s="149"/>
      <c r="L181" s="130"/>
      <c r="M181" s="130"/>
      <c r="N181" s="130"/>
      <c r="O181" s="130"/>
      <c r="P181" s="130"/>
      <c r="Q181" s="130"/>
      <c r="R181" s="130"/>
      <c r="S181" s="130"/>
      <c r="T181" s="130"/>
      <c r="U181" s="130"/>
      <c r="V181" s="130"/>
    </row>
    <row r="182" spans="4:22" ht="12.75">
      <c r="D182" s="130"/>
      <c r="F182" s="130"/>
      <c r="G182" s="130"/>
      <c r="H182" s="130"/>
      <c r="K182" s="149"/>
      <c r="L182" s="130"/>
      <c r="M182" s="130"/>
      <c r="N182" s="130"/>
      <c r="O182" s="130"/>
      <c r="P182" s="130"/>
      <c r="Q182" s="130"/>
      <c r="R182" s="130"/>
      <c r="S182" s="130"/>
      <c r="T182" s="130"/>
      <c r="U182" s="130"/>
      <c r="V182" s="130"/>
    </row>
    <row r="183" spans="4:22" ht="12.75">
      <c r="D183" s="130"/>
      <c r="F183" s="130"/>
      <c r="G183" s="130"/>
      <c r="H183" s="130"/>
      <c r="K183" s="149"/>
      <c r="L183" s="130"/>
      <c r="M183" s="130"/>
      <c r="N183" s="130"/>
      <c r="O183" s="130"/>
      <c r="P183" s="130"/>
      <c r="Q183" s="130"/>
      <c r="R183" s="130"/>
      <c r="S183" s="130"/>
      <c r="T183" s="130"/>
      <c r="U183" s="130"/>
      <c r="V183" s="130"/>
    </row>
    <row r="184" spans="4:22" ht="12.75">
      <c r="D184" s="130"/>
      <c r="F184" s="130"/>
      <c r="G184" s="130"/>
      <c r="H184" s="130"/>
      <c r="K184" s="149"/>
      <c r="L184" s="130"/>
      <c r="M184" s="130"/>
      <c r="N184" s="130"/>
      <c r="O184" s="130"/>
      <c r="P184" s="130"/>
      <c r="Q184" s="130"/>
      <c r="R184" s="130"/>
      <c r="S184" s="130"/>
      <c r="T184" s="130"/>
      <c r="U184" s="130"/>
      <c r="V184" s="130"/>
    </row>
    <row r="185" spans="4:22" ht="12.75">
      <c r="D185" s="130"/>
      <c r="F185" s="130"/>
      <c r="G185" s="130"/>
      <c r="H185" s="130"/>
      <c r="K185" s="149"/>
      <c r="L185" s="130"/>
      <c r="M185" s="130"/>
      <c r="N185" s="130"/>
      <c r="O185" s="130"/>
      <c r="P185" s="130"/>
      <c r="Q185" s="130"/>
      <c r="R185" s="130"/>
      <c r="S185" s="130"/>
      <c r="T185" s="130"/>
      <c r="U185" s="130"/>
      <c r="V185" s="130"/>
    </row>
    <row r="186" spans="4:22" ht="12.75">
      <c r="D186" s="130"/>
      <c r="F186" s="130"/>
      <c r="G186" s="130"/>
      <c r="H186" s="130"/>
      <c r="K186" s="149"/>
      <c r="L186" s="130"/>
      <c r="M186" s="130"/>
      <c r="N186" s="130"/>
      <c r="O186" s="130"/>
      <c r="P186" s="130"/>
      <c r="Q186" s="130"/>
      <c r="R186" s="130"/>
      <c r="S186" s="130"/>
      <c r="T186" s="130"/>
      <c r="U186" s="130"/>
      <c r="V186" s="130"/>
    </row>
    <row r="187" spans="4:22" ht="12.75">
      <c r="D187" s="130"/>
      <c r="F187" s="130"/>
      <c r="G187" s="130"/>
      <c r="H187" s="130"/>
      <c r="K187" s="149"/>
      <c r="L187" s="130"/>
      <c r="M187" s="130"/>
      <c r="N187" s="130"/>
      <c r="O187" s="130"/>
      <c r="P187" s="130"/>
      <c r="Q187" s="130"/>
      <c r="R187" s="130"/>
      <c r="S187" s="130"/>
      <c r="T187" s="130"/>
      <c r="U187" s="130"/>
      <c r="V187" s="130"/>
    </row>
    <row r="188" spans="4:22" ht="12.75">
      <c r="D188" s="130"/>
      <c r="F188" s="130"/>
      <c r="G188" s="130"/>
      <c r="H188" s="130"/>
      <c r="K188" s="149"/>
      <c r="L188" s="130"/>
      <c r="M188" s="130"/>
      <c r="N188" s="130"/>
      <c r="O188" s="130"/>
      <c r="P188" s="130"/>
      <c r="Q188" s="130"/>
      <c r="R188" s="130"/>
      <c r="S188" s="130"/>
      <c r="T188" s="130"/>
      <c r="U188" s="130"/>
      <c r="V188" s="130"/>
    </row>
    <row r="189" spans="4:22" ht="12.75">
      <c r="D189" s="130"/>
      <c r="F189" s="130"/>
      <c r="G189" s="130"/>
      <c r="H189" s="130"/>
      <c r="K189" s="149"/>
      <c r="L189" s="130"/>
      <c r="M189" s="130"/>
      <c r="N189" s="130"/>
      <c r="O189" s="130"/>
      <c r="P189" s="130"/>
      <c r="Q189" s="130"/>
      <c r="R189" s="130"/>
      <c r="S189" s="130"/>
      <c r="T189" s="130"/>
      <c r="U189" s="130"/>
      <c r="V189" s="130"/>
    </row>
    <row r="190" spans="4:22" ht="12.75">
      <c r="D190" s="130"/>
      <c r="F190" s="130"/>
      <c r="G190" s="130"/>
      <c r="H190" s="130"/>
      <c r="K190" s="149"/>
      <c r="L190" s="130"/>
      <c r="M190" s="130"/>
      <c r="N190" s="130"/>
      <c r="O190" s="130"/>
      <c r="P190" s="130"/>
      <c r="Q190" s="130"/>
      <c r="R190" s="130"/>
      <c r="S190" s="130"/>
      <c r="T190" s="130"/>
      <c r="U190" s="130"/>
      <c r="V190" s="130"/>
    </row>
    <row r="191" spans="4:22" ht="12.75">
      <c r="D191" s="130"/>
      <c r="F191" s="130"/>
      <c r="G191" s="130"/>
      <c r="H191" s="130"/>
      <c r="K191" s="149"/>
      <c r="L191" s="130"/>
      <c r="M191" s="130"/>
      <c r="N191" s="130"/>
      <c r="O191" s="130"/>
      <c r="P191" s="130"/>
      <c r="Q191" s="130"/>
      <c r="R191" s="130"/>
      <c r="S191" s="130"/>
      <c r="T191" s="130"/>
      <c r="U191" s="130"/>
      <c r="V191" s="130"/>
    </row>
    <row r="192" spans="4:22" ht="12.75">
      <c r="D192" s="130"/>
      <c r="F192" s="130"/>
      <c r="G192" s="130"/>
      <c r="H192" s="130"/>
      <c r="K192" s="149"/>
      <c r="L192" s="130"/>
      <c r="M192" s="130"/>
      <c r="N192" s="130"/>
      <c r="O192" s="130"/>
      <c r="P192" s="130"/>
      <c r="Q192" s="130"/>
      <c r="R192" s="130"/>
      <c r="S192" s="130"/>
      <c r="T192" s="130"/>
      <c r="U192" s="130"/>
      <c r="V192" s="130"/>
    </row>
    <row r="193" spans="4:22" ht="12.75">
      <c r="D193" s="130"/>
      <c r="F193" s="130"/>
      <c r="G193" s="130"/>
      <c r="H193" s="130"/>
      <c r="K193" s="149"/>
      <c r="L193" s="130"/>
      <c r="M193" s="130"/>
      <c r="N193" s="130"/>
      <c r="O193" s="130"/>
      <c r="P193" s="130"/>
      <c r="Q193" s="130"/>
      <c r="R193" s="130"/>
      <c r="S193" s="130"/>
      <c r="T193" s="130"/>
      <c r="U193" s="130"/>
      <c r="V193" s="130"/>
    </row>
    <row r="194" spans="4:22" ht="12.75">
      <c r="D194" s="130"/>
      <c r="F194" s="130"/>
      <c r="G194" s="130"/>
      <c r="H194" s="130"/>
      <c r="K194" s="149"/>
      <c r="L194" s="130"/>
      <c r="M194" s="130"/>
      <c r="N194" s="130"/>
      <c r="O194" s="130"/>
      <c r="P194" s="130"/>
      <c r="Q194" s="130"/>
      <c r="R194" s="130"/>
      <c r="S194" s="130"/>
      <c r="T194" s="130"/>
      <c r="U194" s="130"/>
      <c r="V194" s="130"/>
    </row>
    <row r="195" spans="4:22" ht="12.75">
      <c r="D195" s="130"/>
      <c r="F195" s="130"/>
      <c r="G195" s="130"/>
      <c r="H195" s="130"/>
      <c r="K195" s="149"/>
      <c r="L195" s="130"/>
      <c r="M195" s="130"/>
      <c r="N195" s="130"/>
      <c r="O195" s="130"/>
      <c r="P195" s="130"/>
      <c r="Q195" s="130"/>
      <c r="R195" s="130"/>
      <c r="S195" s="130"/>
      <c r="T195" s="130"/>
      <c r="U195" s="130"/>
      <c r="V195" s="130"/>
    </row>
    <row r="196" spans="4:22" ht="12.75">
      <c r="D196" s="130"/>
      <c r="F196" s="130"/>
      <c r="G196" s="130"/>
      <c r="H196" s="130"/>
      <c r="K196" s="149"/>
      <c r="L196" s="130"/>
      <c r="M196" s="130"/>
      <c r="N196" s="130"/>
      <c r="O196" s="130"/>
      <c r="P196" s="130"/>
      <c r="Q196" s="130"/>
      <c r="R196" s="130"/>
      <c r="S196" s="130"/>
      <c r="T196" s="130"/>
      <c r="U196" s="130"/>
      <c r="V196" s="130"/>
    </row>
    <row r="197" spans="4:22" ht="12.75">
      <c r="D197" s="130"/>
      <c r="F197" s="130"/>
      <c r="G197" s="130"/>
      <c r="H197" s="130"/>
      <c r="K197" s="149"/>
      <c r="L197" s="130"/>
      <c r="M197" s="130"/>
      <c r="N197" s="130"/>
      <c r="O197" s="130"/>
      <c r="P197" s="130"/>
      <c r="Q197" s="130"/>
      <c r="R197" s="130"/>
      <c r="S197" s="130"/>
      <c r="T197" s="130"/>
      <c r="U197" s="130"/>
      <c r="V197" s="130"/>
    </row>
    <row r="198" spans="4:22" ht="12.75">
      <c r="D198" s="130"/>
      <c r="F198" s="130"/>
      <c r="G198" s="130"/>
      <c r="H198" s="130"/>
      <c r="K198" s="149"/>
      <c r="L198" s="130"/>
      <c r="M198" s="130"/>
      <c r="N198" s="130"/>
      <c r="O198" s="130"/>
      <c r="P198" s="130"/>
      <c r="Q198" s="130"/>
      <c r="R198" s="130"/>
      <c r="S198" s="130"/>
      <c r="T198" s="130"/>
      <c r="U198" s="130"/>
      <c r="V198" s="130"/>
    </row>
    <row r="199" spans="4:22" ht="12.75">
      <c r="D199" s="130"/>
      <c r="F199" s="130"/>
      <c r="G199" s="130"/>
      <c r="H199" s="130"/>
      <c r="K199" s="149"/>
      <c r="L199" s="130"/>
      <c r="M199" s="130"/>
      <c r="N199" s="130"/>
      <c r="O199" s="130"/>
      <c r="P199" s="130"/>
      <c r="Q199" s="130"/>
      <c r="R199" s="130"/>
      <c r="S199" s="130"/>
      <c r="T199" s="130"/>
      <c r="U199" s="130"/>
      <c r="V199" s="130"/>
    </row>
    <row r="200" spans="4:22" ht="12.75">
      <c r="D200" s="130"/>
      <c r="F200" s="130"/>
      <c r="G200" s="130"/>
      <c r="H200" s="130"/>
      <c r="K200" s="149"/>
      <c r="L200" s="130"/>
      <c r="M200" s="130"/>
      <c r="N200" s="130"/>
      <c r="O200" s="130"/>
      <c r="P200" s="130"/>
      <c r="Q200" s="130"/>
      <c r="R200" s="130"/>
      <c r="S200" s="130"/>
      <c r="T200" s="130"/>
      <c r="U200" s="130"/>
      <c r="V200" s="130"/>
    </row>
    <row r="201" spans="4:22" ht="12.75">
      <c r="D201" s="130"/>
      <c r="F201" s="130"/>
      <c r="G201" s="130"/>
      <c r="H201" s="130"/>
      <c r="K201" s="149"/>
      <c r="L201" s="130"/>
      <c r="M201" s="130"/>
      <c r="N201" s="130"/>
      <c r="O201" s="130"/>
      <c r="P201" s="130"/>
      <c r="Q201" s="130"/>
      <c r="R201" s="130"/>
      <c r="S201" s="130"/>
      <c r="T201" s="130"/>
      <c r="U201" s="130"/>
      <c r="V201" s="130"/>
    </row>
    <row r="202" spans="4:22" ht="12.75">
      <c r="D202" s="130"/>
      <c r="F202" s="130"/>
      <c r="G202" s="130"/>
      <c r="H202" s="130"/>
      <c r="K202" s="149"/>
      <c r="L202" s="130"/>
      <c r="M202" s="130"/>
      <c r="N202" s="130"/>
      <c r="O202" s="130"/>
      <c r="P202" s="130"/>
      <c r="Q202" s="130"/>
      <c r="R202" s="130"/>
      <c r="S202" s="130"/>
      <c r="T202" s="130"/>
      <c r="U202" s="130"/>
      <c r="V202" s="130"/>
    </row>
    <row r="203" spans="4:22" ht="12.75">
      <c r="D203" s="130"/>
      <c r="F203" s="130"/>
      <c r="G203" s="130"/>
      <c r="H203" s="130"/>
      <c r="K203" s="149"/>
      <c r="L203" s="130"/>
      <c r="M203" s="130"/>
      <c r="N203" s="130"/>
      <c r="O203" s="130"/>
      <c r="P203" s="130"/>
      <c r="Q203" s="130"/>
      <c r="R203" s="130"/>
      <c r="S203" s="130"/>
      <c r="T203" s="130"/>
      <c r="U203" s="130"/>
      <c r="V203" s="130"/>
    </row>
    <row r="204" spans="4:22" ht="12.75">
      <c r="D204" s="130"/>
      <c r="F204" s="130"/>
      <c r="G204" s="130"/>
      <c r="H204" s="130"/>
      <c r="K204" s="149"/>
      <c r="L204" s="130"/>
      <c r="M204" s="130"/>
      <c r="N204" s="130"/>
      <c r="O204" s="130"/>
      <c r="P204" s="130"/>
      <c r="Q204" s="130"/>
      <c r="R204" s="130"/>
      <c r="S204" s="130"/>
      <c r="T204" s="130"/>
      <c r="U204" s="130"/>
      <c r="V204" s="130"/>
    </row>
    <row r="205" spans="4:22" ht="12.75">
      <c r="D205" s="130"/>
      <c r="F205" s="130"/>
      <c r="G205" s="130"/>
      <c r="H205" s="130"/>
      <c r="K205" s="149"/>
      <c r="L205" s="130"/>
      <c r="M205" s="130"/>
      <c r="N205" s="130"/>
      <c r="O205" s="130"/>
      <c r="P205" s="130"/>
      <c r="Q205" s="130"/>
      <c r="R205" s="130"/>
      <c r="S205" s="130"/>
      <c r="T205" s="130"/>
      <c r="U205" s="130"/>
      <c r="V205" s="130"/>
    </row>
    <row r="206" spans="4:22" ht="12.75">
      <c r="D206" s="130"/>
      <c r="F206" s="130"/>
      <c r="G206" s="130"/>
      <c r="H206" s="130"/>
      <c r="K206" s="149"/>
      <c r="L206" s="130"/>
      <c r="M206" s="130"/>
      <c r="N206" s="130"/>
      <c r="O206" s="130"/>
      <c r="P206" s="130"/>
      <c r="Q206" s="130"/>
      <c r="R206" s="130"/>
      <c r="S206" s="130"/>
      <c r="T206" s="130"/>
      <c r="U206" s="130"/>
      <c r="V206" s="130"/>
    </row>
    <row r="207" spans="4:22" ht="12.75">
      <c r="D207" s="130"/>
      <c r="F207" s="130"/>
      <c r="G207" s="130"/>
      <c r="H207" s="130"/>
      <c r="K207" s="149"/>
      <c r="L207" s="130"/>
      <c r="M207" s="130"/>
      <c r="N207" s="130"/>
      <c r="O207" s="130"/>
      <c r="P207" s="130"/>
      <c r="Q207" s="130"/>
      <c r="R207" s="130"/>
      <c r="S207" s="130"/>
      <c r="T207" s="130"/>
      <c r="U207" s="130"/>
      <c r="V207" s="130"/>
    </row>
    <row r="208" spans="4:22" ht="12.75">
      <c r="D208" s="130"/>
      <c r="F208" s="130"/>
      <c r="G208" s="130"/>
      <c r="H208" s="130"/>
      <c r="K208" s="149"/>
      <c r="L208" s="130"/>
      <c r="M208" s="130"/>
      <c r="N208" s="130"/>
      <c r="O208" s="130"/>
      <c r="P208" s="130"/>
      <c r="Q208" s="130"/>
      <c r="R208" s="130"/>
      <c r="S208" s="130"/>
      <c r="T208" s="130"/>
      <c r="U208" s="130"/>
      <c r="V208" s="130"/>
    </row>
    <row r="209" spans="4:22" ht="12.75">
      <c r="D209" s="130"/>
      <c r="F209" s="130"/>
      <c r="G209" s="130"/>
      <c r="H209" s="130"/>
      <c r="K209" s="149"/>
      <c r="L209" s="130"/>
      <c r="M209" s="130"/>
      <c r="N209" s="130"/>
      <c r="O209" s="130"/>
      <c r="P209" s="130"/>
      <c r="Q209" s="130"/>
      <c r="R209" s="130"/>
      <c r="S209" s="130"/>
      <c r="T209" s="130"/>
      <c r="U209" s="130"/>
      <c r="V209" s="130"/>
    </row>
    <row r="210" spans="4:22" ht="12.75">
      <c r="D210" s="130"/>
      <c r="F210" s="130"/>
      <c r="G210" s="130"/>
      <c r="H210" s="130"/>
      <c r="K210" s="149"/>
      <c r="L210" s="130"/>
      <c r="M210" s="130"/>
      <c r="N210" s="130"/>
      <c r="O210" s="130"/>
      <c r="P210" s="130"/>
      <c r="Q210" s="130"/>
      <c r="R210" s="130"/>
      <c r="S210" s="130"/>
      <c r="T210" s="130"/>
      <c r="U210" s="130"/>
      <c r="V210" s="130"/>
    </row>
    <row r="211" spans="4:22" ht="12.75">
      <c r="D211" s="130"/>
      <c r="F211" s="130"/>
      <c r="G211" s="130"/>
      <c r="H211" s="130"/>
      <c r="K211" s="149"/>
      <c r="L211" s="130"/>
      <c r="M211" s="130"/>
      <c r="N211" s="130"/>
      <c r="O211" s="130"/>
      <c r="P211" s="130"/>
      <c r="Q211" s="130"/>
      <c r="R211" s="130"/>
      <c r="S211" s="130"/>
      <c r="T211" s="130"/>
      <c r="U211" s="130"/>
      <c r="V211" s="130"/>
    </row>
    <row r="212" spans="4:22" ht="12.75">
      <c r="D212" s="130"/>
      <c r="F212" s="130"/>
      <c r="G212" s="130"/>
      <c r="H212" s="130"/>
      <c r="K212" s="149"/>
      <c r="L212" s="130"/>
      <c r="M212" s="130"/>
      <c r="N212" s="130"/>
      <c r="O212" s="130"/>
      <c r="P212" s="130"/>
      <c r="Q212" s="130"/>
      <c r="R212" s="130"/>
      <c r="S212" s="130"/>
      <c r="T212" s="130"/>
      <c r="U212" s="130"/>
      <c r="V212" s="130"/>
    </row>
    <row r="213" spans="4:22" ht="12.75">
      <c r="D213" s="130"/>
      <c r="F213" s="130"/>
      <c r="G213" s="130"/>
      <c r="H213" s="130"/>
      <c r="K213" s="149"/>
      <c r="L213" s="130"/>
      <c r="M213" s="130"/>
      <c r="N213" s="130"/>
      <c r="O213" s="130"/>
      <c r="P213" s="130"/>
      <c r="Q213" s="130"/>
      <c r="R213" s="130"/>
      <c r="S213" s="130"/>
      <c r="T213" s="130"/>
      <c r="U213" s="130"/>
      <c r="V213" s="130"/>
    </row>
    <row r="214" spans="4:22" ht="12.75">
      <c r="D214" s="130"/>
      <c r="F214" s="130"/>
      <c r="G214" s="130"/>
      <c r="H214" s="130"/>
      <c r="K214" s="149"/>
      <c r="L214" s="130"/>
      <c r="M214" s="130"/>
      <c r="N214" s="130"/>
      <c r="O214" s="130"/>
      <c r="P214" s="130"/>
      <c r="Q214" s="130"/>
      <c r="R214" s="130"/>
      <c r="S214" s="130"/>
      <c r="T214" s="130"/>
      <c r="U214" s="130"/>
      <c r="V214" s="130"/>
    </row>
    <row r="215" spans="4:22" ht="12.75">
      <c r="D215" s="130"/>
      <c r="F215" s="130"/>
      <c r="G215" s="130"/>
      <c r="H215" s="130"/>
      <c r="K215" s="149"/>
      <c r="L215" s="130"/>
      <c r="M215" s="130"/>
      <c r="N215" s="130"/>
      <c r="O215" s="130"/>
      <c r="P215" s="130"/>
      <c r="Q215" s="130"/>
      <c r="R215" s="130"/>
      <c r="S215" s="130"/>
      <c r="T215" s="130"/>
      <c r="U215" s="130"/>
      <c r="V215" s="130"/>
    </row>
    <row r="216" spans="4:22" ht="12.75">
      <c r="D216" s="130"/>
      <c r="F216" s="130"/>
      <c r="G216" s="130"/>
      <c r="H216" s="130"/>
      <c r="K216" s="149"/>
      <c r="L216" s="130"/>
      <c r="M216" s="130"/>
      <c r="N216" s="130"/>
      <c r="O216" s="130"/>
      <c r="P216" s="130"/>
      <c r="Q216" s="130"/>
      <c r="R216" s="130"/>
      <c r="S216" s="130"/>
      <c r="T216" s="130"/>
      <c r="U216" s="130"/>
      <c r="V216" s="130"/>
    </row>
    <row r="217" spans="4:22" ht="12.75">
      <c r="D217" s="130"/>
      <c r="F217" s="130"/>
      <c r="G217" s="130"/>
      <c r="H217" s="130"/>
      <c r="K217" s="149"/>
      <c r="L217" s="130"/>
      <c r="M217" s="130"/>
      <c r="N217" s="130"/>
      <c r="O217" s="130"/>
      <c r="P217" s="130"/>
      <c r="Q217" s="130"/>
      <c r="R217" s="130"/>
      <c r="S217" s="130"/>
      <c r="T217" s="130"/>
      <c r="U217" s="130"/>
      <c r="V217" s="130"/>
    </row>
    <row r="218" spans="4:22" ht="12.75">
      <c r="D218" s="130"/>
      <c r="F218" s="130"/>
      <c r="G218" s="130"/>
      <c r="H218" s="130"/>
      <c r="K218" s="149"/>
      <c r="L218" s="130"/>
      <c r="M218" s="130"/>
      <c r="N218" s="130"/>
      <c r="O218" s="130"/>
      <c r="P218" s="130"/>
      <c r="Q218" s="130"/>
      <c r="R218" s="130"/>
      <c r="S218" s="130"/>
      <c r="T218" s="130"/>
      <c r="U218" s="130"/>
      <c r="V218" s="130"/>
    </row>
    <row r="219" spans="4:22" ht="12.75">
      <c r="D219" s="130"/>
      <c r="F219" s="130"/>
      <c r="G219" s="130"/>
      <c r="H219" s="130"/>
      <c r="K219" s="149"/>
      <c r="L219" s="130"/>
      <c r="M219" s="130"/>
      <c r="N219" s="130"/>
      <c r="O219" s="130"/>
      <c r="P219" s="130"/>
      <c r="Q219" s="130"/>
      <c r="R219" s="130"/>
      <c r="S219" s="130"/>
      <c r="T219" s="130"/>
      <c r="U219" s="130"/>
      <c r="V219" s="130"/>
    </row>
    <row r="220" spans="4:22" ht="12.75">
      <c r="D220" s="130"/>
      <c r="F220" s="130"/>
      <c r="G220" s="130"/>
      <c r="H220" s="130"/>
      <c r="K220" s="149"/>
      <c r="L220" s="130"/>
      <c r="M220" s="130"/>
      <c r="N220" s="130"/>
      <c r="O220" s="130"/>
      <c r="P220" s="130"/>
      <c r="Q220" s="130"/>
      <c r="R220" s="130"/>
      <c r="S220" s="130"/>
      <c r="T220" s="130"/>
      <c r="U220" s="130"/>
      <c r="V220" s="130"/>
    </row>
    <row r="221" spans="4:22" ht="12.75">
      <c r="D221" s="130"/>
      <c r="F221" s="130"/>
      <c r="G221" s="130"/>
      <c r="H221" s="130"/>
      <c r="K221" s="149"/>
      <c r="L221" s="130"/>
      <c r="M221" s="130"/>
      <c r="N221" s="130"/>
      <c r="O221" s="130"/>
      <c r="P221" s="130"/>
      <c r="Q221" s="130"/>
      <c r="R221" s="130"/>
      <c r="S221" s="130"/>
      <c r="T221" s="130"/>
      <c r="U221" s="130"/>
      <c r="V221" s="130"/>
    </row>
    <row r="222" spans="4:22" ht="12.75">
      <c r="D222" s="130"/>
      <c r="F222" s="130"/>
      <c r="G222" s="130"/>
      <c r="H222" s="130"/>
      <c r="K222" s="149"/>
      <c r="L222" s="130"/>
      <c r="M222" s="130"/>
      <c r="N222" s="130"/>
      <c r="O222" s="130"/>
      <c r="P222" s="130"/>
      <c r="Q222" s="130"/>
      <c r="R222" s="130"/>
      <c r="S222" s="130"/>
      <c r="T222" s="130"/>
      <c r="U222" s="130"/>
      <c r="V222" s="130"/>
    </row>
    <row r="223" spans="4:22" ht="12.75">
      <c r="D223" s="130"/>
      <c r="F223" s="130"/>
      <c r="G223" s="130"/>
      <c r="H223" s="130"/>
      <c r="K223" s="149"/>
      <c r="L223" s="130"/>
      <c r="M223" s="130"/>
      <c r="N223" s="130"/>
      <c r="O223" s="130"/>
      <c r="P223" s="130"/>
      <c r="Q223" s="130"/>
      <c r="R223" s="130"/>
      <c r="S223" s="130"/>
      <c r="T223" s="130"/>
      <c r="U223" s="130"/>
      <c r="V223" s="130"/>
    </row>
    <row r="224" spans="4:22" ht="12.75">
      <c r="D224" s="130"/>
      <c r="F224" s="130"/>
      <c r="G224" s="130"/>
      <c r="H224" s="130"/>
      <c r="K224" s="149"/>
      <c r="L224" s="130"/>
      <c r="M224" s="130"/>
      <c r="N224" s="130"/>
      <c r="O224" s="130"/>
      <c r="P224" s="130"/>
      <c r="Q224" s="130"/>
      <c r="R224" s="130"/>
      <c r="S224" s="130"/>
      <c r="T224" s="130"/>
      <c r="U224" s="130"/>
      <c r="V224" s="130"/>
    </row>
    <row r="225" spans="4:22" ht="12.75">
      <c r="D225" s="130"/>
      <c r="F225" s="130"/>
      <c r="G225" s="130"/>
      <c r="H225" s="130"/>
      <c r="K225" s="149"/>
      <c r="L225" s="130"/>
      <c r="M225" s="130"/>
      <c r="N225" s="130"/>
      <c r="O225" s="130"/>
      <c r="P225" s="130"/>
      <c r="Q225" s="130"/>
      <c r="R225" s="130"/>
      <c r="S225" s="130"/>
      <c r="T225" s="130"/>
      <c r="U225" s="130"/>
      <c r="V225" s="130"/>
    </row>
    <row r="226" spans="4:22" ht="12.75">
      <c r="D226" s="130"/>
      <c r="F226" s="130"/>
      <c r="G226" s="130"/>
      <c r="H226" s="130"/>
      <c r="K226" s="149"/>
      <c r="L226" s="130"/>
      <c r="M226" s="130"/>
      <c r="N226" s="130"/>
      <c r="O226" s="130"/>
      <c r="P226" s="130"/>
      <c r="Q226" s="130"/>
      <c r="R226" s="130"/>
      <c r="S226" s="130"/>
      <c r="T226" s="130"/>
      <c r="U226" s="130"/>
      <c r="V226" s="130"/>
    </row>
    <row r="227" spans="4:22" ht="12.75">
      <c r="D227" s="130"/>
      <c r="F227" s="130"/>
      <c r="G227" s="130"/>
      <c r="H227" s="130"/>
      <c r="K227" s="149"/>
      <c r="L227" s="130"/>
      <c r="M227" s="130"/>
      <c r="N227" s="130"/>
      <c r="O227" s="130"/>
      <c r="P227" s="130"/>
      <c r="Q227" s="130"/>
      <c r="R227" s="130"/>
      <c r="S227" s="130"/>
      <c r="T227" s="130"/>
      <c r="U227" s="130"/>
      <c r="V227" s="130"/>
    </row>
    <row r="228" spans="4:22" ht="12.75">
      <c r="D228" s="130"/>
      <c r="F228" s="130"/>
      <c r="G228" s="130"/>
      <c r="H228" s="130"/>
      <c r="K228" s="149"/>
      <c r="L228" s="130"/>
      <c r="M228" s="130"/>
      <c r="N228" s="130"/>
      <c r="O228" s="130"/>
      <c r="P228" s="130"/>
      <c r="Q228" s="130"/>
      <c r="R228" s="130"/>
      <c r="S228" s="130"/>
      <c r="T228" s="130"/>
      <c r="U228" s="130"/>
      <c r="V228" s="130"/>
    </row>
    <row r="229" spans="4:22" ht="12.75">
      <c r="D229" s="130"/>
      <c r="F229" s="130"/>
      <c r="G229" s="130"/>
      <c r="H229" s="130"/>
      <c r="K229" s="149"/>
      <c r="L229" s="130"/>
      <c r="M229" s="130"/>
      <c r="N229" s="130"/>
      <c r="O229" s="130"/>
      <c r="P229" s="130"/>
      <c r="Q229" s="130"/>
      <c r="R229" s="130"/>
      <c r="S229" s="130"/>
      <c r="T229" s="130"/>
      <c r="U229" s="130"/>
      <c r="V229" s="130"/>
    </row>
    <row r="230" spans="4:22" ht="12.75">
      <c r="D230" s="130"/>
      <c r="F230" s="130"/>
      <c r="G230" s="130"/>
      <c r="H230" s="130"/>
      <c r="K230" s="149"/>
      <c r="L230" s="130"/>
      <c r="M230" s="130"/>
      <c r="N230" s="130"/>
      <c r="O230" s="130"/>
      <c r="P230" s="130"/>
      <c r="Q230" s="130"/>
      <c r="R230" s="130"/>
      <c r="S230" s="130"/>
      <c r="T230" s="130"/>
      <c r="U230" s="130"/>
      <c r="V230" s="130"/>
    </row>
    <row r="231" spans="4:22" ht="12.75">
      <c r="D231" s="130"/>
      <c r="F231" s="130"/>
      <c r="G231" s="130"/>
      <c r="H231" s="130"/>
      <c r="K231" s="149"/>
      <c r="L231" s="130"/>
      <c r="M231" s="130"/>
      <c r="N231" s="130"/>
      <c r="O231" s="130"/>
      <c r="P231" s="130"/>
      <c r="Q231" s="130"/>
      <c r="R231" s="130"/>
      <c r="S231" s="130"/>
      <c r="T231" s="130"/>
      <c r="U231" s="130"/>
      <c r="V231" s="130"/>
    </row>
    <row r="232" spans="4:22" ht="12.75">
      <c r="D232" s="130"/>
      <c r="F232" s="130"/>
      <c r="G232" s="130"/>
      <c r="H232" s="130"/>
      <c r="K232" s="149"/>
      <c r="L232" s="130"/>
      <c r="M232" s="130"/>
      <c r="N232" s="130"/>
      <c r="O232" s="130"/>
      <c r="P232" s="130"/>
      <c r="Q232" s="130"/>
      <c r="R232" s="130"/>
      <c r="S232" s="130"/>
      <c r="T232" s="130"/>
      <c r="U232" s="130"/>
      <c r="V232" s="130"/>
    </row>
    <row r="233" spans="4:22" ht="12.75">
      <c r="D233" s="130"/>
      <c r="F233" s="130"/>
      <c r="G233" s="130"/>
      <c r="H233" s="130"/>
      <c r="K233" s="149"/>
      <c r="L233" s="130"/>
      <c r="M233" s="130"/>
      <c r="N233" s="130"/>
      <c r="O233" s="130"/>
      <c r="P233" s="130"/>
      <c r="Q233" s="130"/>
      <c r="R233" s="130"/>
      <c r="S233" s="130"/>
      <c r="T233" s="130"/>
      <c r="U233" s="130"/>
      <c r="V233" s="130"/>
    </row>
    <row r="234" spans="4:22" ht="12.75">
      <c r="D234" s="130"/>
      <c r="F234" s="130"/>
      <c r="G234" s="130"/>
      <c r="H234" s="130"/>
      <c r="K234" s="149"/>
      <c r="L234" s="130"/>
      <c r="M234" s="130"/>
      <c r="N234" s="130"/>
      <c r="O234" s="130"/>
      <c r="P234" s="130"/>
      <c r="Q234" s="130"/>
      <c r="R234" s="130"/>
      <c r="S234" s="130"/>
      <c r="T234" s="130"/>
      <c r="U234" s="130"/>
      <c r="V234" s="130"/>
    </row>
    <row r="235" spans="4:22" ht="12.75">
      <c r="D235" s="130"/>
      <c r="F235" s="130"/>
      <c r="G235" s="130"/>
      <c r="H235" s="130"/>
      <c r="K235" s="149"/>
      <c r="L235" s="130"/>
      <c r="M235" s="130"/>
      <c r="N235" s="130"/>
      <c r="O235" s="130"/>
      <c r="P235" s="130"/>
      <c r="Q235" s="130"/>
      <c r="R235" s="130"/>
      <c r="S235" s="130"/>
      <c r="T235" s="130"/>
      <c r="U235" s="130"/>
      <c r="V235" s="130"/>
    </row>
    <row r="236" spans="4:22" ht="12.75">
      <c r="D236" s="130"/>
      <c r="F236" s="130"/>
      <c r="G236" s="130"/>
      <c r="H236" s="130"/>
      <c r="K236" s="149"/>
      <c r="L236" s="130"/>
      <c r="M236" s="130"/>
      <c r="N236" s="130"/>
      <c r="O236" s="130"/>
      <c r="P236" s="130"/>
      <c r="Q236" s="130"/>
      <c r="R236" s="130"/>
      <c r="S236" s="130"/>
      <c r="T236" s="130"/>
      <c r="U236" s="130"/>
      <c r="V236" s="130"/>
    </row>
    <row r="237" spans="4:22" ht="12.75">
      <c r="D237" s="130"/>
      <c r="F237" s="130"/>
      <c r="G237" s="130"/>
      <c r="H237" s="130"/>
      <c r="K237" s="149"/>
      <c r="L237" s="130"/>
      <c r="M237" s="130"/>
      <c r="N237" s="130"/>
      <c r="O237" s="130"/>
      <c r="P237" s="130"/>
      <c r="Q237" s="130"/>
      <c r="R237" s="130"/>
      <c r="S237" s="130"/>
      <c r="T237" s="130"/>
      <c r="U237" s="130"/>
      <c r="V237" s="130"/>
    </row>
    <row r="238" spans="4:22" ht="12.75">
      <c r="D238" s="130"/>
      <c r="F238" s="130"/>
      <c r="G238" s="130"/>
      <c r="H238" s="130"/>
      <c r="K238" s="149"/>
      <c r="L238" s="130"/>
      <c r="M238" s="130"/>
      <c r="N238" s="130"/>
      <c r="O238" s="130"/>
      <c r="P238" s="130"/>
      <c r="Q238" s="130"/>
      <c r="R238" s="130"/>
      <c r="S238" s="130"/>
      <c r="T238" s="130"/>
      <c r="U238" s="130"/>
      <c r="V238" s="130"/>
    </row>
    <row r="239" spans="4:22" ht="12.75">
      <c r="D239" s="130"/>
      <c r="F239" s="130"/>
      <c r="G239" s="130"/>
      <c r="H239" s="130"/>
      <c r="K239" s="149"/>
      <c r="L239" s="130"/>
      <c r="M239" s="130"/>
      <c r="N239" s="130"/>
      <c r="O239" s="130"/>
      <c r="P239" s="130"/>
      <c r="Q239" s="130"/>
      <c r="R239" s="130"/>
      <c r="S239" s="130"/>
      <c r="T239" s="130"/>
      <c r="U239" s="130"/>
      <c r="V239" s="130"/>
    </row>
    <row r="240" spans="4:22" ht="12.75">
      <c r="D240" s="130"/>
      <c r="F240" s="130"/>
      <c r="G240" s="130"/>
      <c r="H240" s="130"/>
      <c r="K240" s="149"/>
      <c r="L240" s="130"/>
      <c r="M240" s="130"/>
      <c r="N240" s="130"/>
      <c r="O240" s="130"/>
      <c r="P240" s="130"/>
      <c r="Q240" s="130"/>
      <c r="R240" s="130"/>
      <c r="S240" s="130"/>
      <c r="T240" s="130"/>
      <c r="U240" s="130"/>
      <c r="V240" s="130"/>
    </row>
    <row r="241" spans="4:22" ht="12.75">
      <c r="D241" s="130"/>
      <c r="F241" s="130"/>
      <c r="G241" s="130"/>
      <c r="H241" s="130"/>
      <c r="K241" s="149"/>
      <c r="L241" s="130"/>
      <c r="M241" s="130"/>
      <c r="N241" s="130"/>
      <c r="O241" s="130"/>
      <c r="P241" s="130"/>
      <c r="Q241" s="130"/>
      <c r="R241" s="130"/>
      <c r="S241" s="130"/>
      <c r="T241" s="130"/>
      <c r="U241" s="130"/>
      <c r="V241" s="130"/>
    </row>
    <row r="242" spans="4:22" ht="12.75">
      <c r="D242" s="130"/>
      <c r="F242" s="130"/>
      <c r="G242" s="130"/>
      <c r="H242" s="130"/>
      <c r="K242" s="149"/>
      <c r="L242" s="130"/>
      <c r="M242" s="130"/>
      <c r="N242" s="130"/>
      <c r="O242" s="130"/>
      <c r="P242" s="130"/>
      <c r="Q242" s="130"/>
      <c r="R242" s="130"/>
      <c r="S242" s="130"/>
      <c r="T242" s="130"/>
      <c r="U242" s="130"/>
      <c r="V242" s="130"/>
    </row>
    <row r="243" spans="4:22" ht="12.75">
      <c r="D243" s="130"/>
      <c r="F243" s="130"/>
      <c r="G243" s="130"/>
      <c r="H243" s="130"/>
      <c r="K243" s="149"/>
      <c r="L243" s="130"/>
      <c r="M243" s="130"/>
      <c r="N243" s="130"/>
      <c r="O243" s="130"/>
      <c r="P243" s="130"/>
      <c r="Q243" s="130"/>
      <c r="R243" s="130"/>
      <c r="S243" s="130"/>
      <c r="T243" s="130"/>
      <c r="U243" s="130"/>
      <c r="V243" s="130"/>
    </row>
    <row r="244" spans="4:22" ht="12.75">
      <c r="D244" s="130"/>
      <c r="F244" s="130"/>
      <c r="G244" s="130"/>
      <c r="H244" s="130"/>
      <c r="K244" s="149"/>
      <c r="L244" s="130"/>
      <c r="M244" s="130"/>
      <c r="N244" s="130"/>
      <c r="O244" s="130"/>
      <c r="P244" s="130"/>
      <c r="Q244" s="130"/>
      <c r="R244" s="130"/>
      <c r="S244" s="130"/>
      <c r="T244" s="130"/>
      <c r="U244" s="130"/>
      <c r="V244" s="130"/>
    </row>
    <row r="245" spans="4:22" ht="12.75">
      <c r="D245" s="130"/>
      <c r="F245" s="130"/>
      <c r="G245" s="130"/>
      <c r="H245" s="130"/>
      <c r="K245" s="149"/>
      <c r="L245" s="130"/>
      <c r="M245" s="130"/>
      <c r="N245" s="130"/>
      <c r="O245" s="130"/>
      <c r="P245" s="130"/>
      <c r="Q245" s="130"/>
      <c r="R245" s="130"/>
      <c r="S245" s="130"/>
      <c r="T245" s="130"/>
      <c r="U245" s="130"/>
      <c r="V245" s="130"/>
    </row>
    <row r="246" spans="4:22" ht="12.75">
      <c r="D246" s="130"/>
      <c r="F246" s="130"/>
      <c r="G246" s="130"/>
      <c r="H246" s="130"/>
      <c r="K246" s="149"/>
      <c r="L246" s="130"/>
      <c r="M246" s="130"/>
      <c r="N246" s="130"/>
      <c r="O246" s="130"/>
      <c r="P246" s="130"/>
      <c r="Q246" s="130"/>
      <c r="R246" s="130"/>
      <c r="S246" s="130"/>
      <c r="T246" s="130"/>
      <c r="U246" s="130"/>
      <c r="V246" s="130"/>
    </row>
    <row r="247" spans="4:22" ht="12.75">
      <c r="D247" s="130"/>
      <c r="F247" s="130"/>
      <c r="G247" s="130"/>
      <c r="H247" s="130"/>
      <c r="K247" s="149"/>
      <c r="L247" s="130"/>
      <c r="M247" s="130"/>
      <c r="N247" s="130"/>
      <c r="O247" s="130"/>
      <c r="P247" s="130"/>
      <c r="Q247" s="130"/>
      <c r="R247" s="130"/>
      <c r="S247" s="130"/>
      <c r="T247" s="130"/>
      <c r="U247" s="130"/>
      <c r="V247" s="130"/>
    </row>
    <row r="248" spans="4:22" ht="12.75">
      <c r="D248" s="130"/>
      <c r="F248" s="130"/>
      <c r="G248" s="130"/>
      <c r="H248" s="130"/>
      <c r="K248" s="149"/>
      <c r="L248" s="130"/>
      <c r="M248" s="130"/>
      <c r="N248" s="130"/>
      <c r="O248" s="130"/>
      <c r="P248" s="130"/>
      <c r="Q248" s="130"/>
      <c r="R248" s="130"/>
      <c r="S248" s="130"/>
      <c r="T248" s="130"/>
      <c r="U248" s="130"/>
      <c r="V248" s="130"/>
    </row>
    <row r="249" spans="4:22" ht="12.75">
      <c r="D249" s="130"/>
      <c r="F249" s="130"/>
      <c r="G249" s="130"/>
      <c r="H249" s="130"/>
      <c r="K249" s="149"/>
      <c r="L249" s="130"/>
      <c r="M249" s="130"/>
      <c r="N249" s="130"/>
      <c r="O249" s="130"/>
      <c r="P249" s="130"/>
      <c r="Q249" s="130"/>
      <c r="R249" s="130"/>
      <c r="S249" s="130"/>
      <c r="T249" s="130"/>
      <c r="U249" s="130"/>
      <c r="V249" s="130"/>
    </row>
    <row r="250" spans="4:22" ht="12.75">
      <c r="D250" s="130"/>
      <c r="F250" s="130"/>
      <c r="G250" s="130"/>
      <c r="H250" s="130"/>
      <c r="K250" s="149"/>
      <c r="L250" s="130"/>
      <c r="M250" s="130"/>
      <c r="N250" s="130"/>
      <c r="O250" s="130"/>
      <c r="P250" s="130"/>
      <c r="Q250" s="130"/>
      <c r="R250" s="130"/>
      <c r="S250" s="130"/>
      <c r="T250" s="130"/>
      <c r="U250" s="130"/>
      <c r="V250" s="130"/>
    </row>
    <row r="251" spans="4:22" ht="12.75">
      <c r="D251" s="130"/>
      <c r="F251" s="130"/>
      <c r="G251" s="130"/>
      <c r="H251" s="130"/>
      <c r="K251" s="149"/>
      <c r="L251" s="130"/>
      <c r="M251" s="130"/>
      <c r="N251" s="130"/>
      <c r="O251" s="130"/>
      <c r="P251" s="130"/>
      <c r="Q251" s="130"/>
      <c r="R251" s="130"/>
      <c r="S251" s="130"/>
      <c r="T251" s="130"/>
      <c r="U251" s="130"/>
      <c r="V251" s="130"/>
    </row>
    <row r="252" spans="4:22" ht="12.75">
      <c r="D252" s="130"/>
      <c r="F252" s="130"/>
      <c r="G252" s="130"/>
      <c r="H252" s="130"/>
      <c r="K252" s="149"/>
      <c r="L252" s="130"/>
      <c r="M252" s="130"/>
      <c r="N252" s="130"/>
      <c r="O252" s="130"/>
      <c r="P252" s="130"/>
      <c r="Q252" s="130"/>
      <c r="R252" s="130"/>
      <c r="S252" s="130"/>
      <c r="T252" s="130"/>
      <c r="U252" s="130"/>
      <c r="V252" s="130"/>
    </row>
    <row r="253" spans="4:22" ht="12.75">
      <c r="D253" s="130"/>
      <c r="F253" s="130"/>
      <c r="G253" s="130"/>
      <c r="H253" s="130"/>
      <c r="K253" s="149"/>
      <c r="L253" s="130"/>
      <c r="M253" s="130"/>
      <c r="N253" s="130"/>
      <c r="O253" s="130"/>
      <c r="P253" s="130"/>
      <c r="Q253" s="130"/>
      <c r="R253" s="130"/>
      <c r="S253" s="130"/>
      <c r="T253" s="130"/>
      <c r="U253" s="130"/>
      <c r="V253" s="130"/>
    </row>
    <row r="254" spans="4:22" ht="12.75">
      <c r="D254" s="130"/>
      <c r="F254" s="130"/>
      <c r="G254" s="130"/>
      <c r="H254" s="130"/>
      <c r="K254" s="149"/>
      <c r="L254" s="130"/>
      <c r="M254" s="130"/>
      <c r="N254" s="130"/>
      <c r="O254" s="130"/>
      <c r="P254" s="130"/>
      <c r="Q254" s="130"/>
      <c r="R254" s="130"/>
      <c r="S254" s="130"/>
      <c r="T254" s="130"/>
      <c r="U254" s="130"/>
      <c r="V254" s="130"/>
    </row>
    <row r="255" spans="4:22" ht="12.75">
      <c r="D255" s="130"/>
      <c r="F255" s="130"/>
      <c r="G255" s="130"/>
      <c r="H255" s="130"/>
      <c r="K255" s="149"/>
      <c r="L255" s="130"/>
      <c r="M255" s="130"/>
      <c r="N255" s="130"/>
      <c r="O255" s="130"/>
      <c r="P255" s="130"/>
      <c r="Q255" s="130"/>
      <c r="R255" s="130"/>
      <c r="S255" s="130"/>
      <c r="T255" s="130"/>
      <c r="U255" s="130"/>
      <c r="V255" s="130"/>
    </row>
    <row r="256" spans="4:22" ht="12.75">
      <c r="D256" s="130"/>
      <c r="F256" s="130"/>
      <c r="G256" s="130"/>
      <c r="H256" s="130"/>
      <c r="K256" s="149"/>
      <c r="L256" s="130"/>
      <c r="M256" s="130"/>
      <c r="N256" s="130"/>
      <c r="O256" s="130"/>
      <c r="P256" s="130"/>
      <c r="Q256" s="130"/>
      <c r="R256" s="130"/>
      <c r="S256" s="130"/>
      <c r="T256" s="130"/>
      <c r="U256" s="130"/>
      <c r="V256" s="130"/>
    </row>
    <row r="257" spans="4:22" ht="12.75">
      <c r="D257" s="130"/>
      <c r="F257" s="130"/>
      <c r="G257" s="130"/>
      <c r="H257" s="130"/>
      <c r="K257" s="149"/>
      <c r="L257" s="130"/>
      <c r="M257" s="130"/>
      <c r="N257" s="130"/>
      <c r="O257" s="130"/>
      <c r="P257" s="130"/>
      <c r="Q257" s="130"/>
      <c r="R257" s="130"/>
      <c r="S257" s="130"/>
      <c r="T257" s="130"/>
      <c r="U257" s="130"/>
      <c r="V257" s="130"/>
    </row>
    <row r="258" spans="4:22" ht="12.75">
      <c r="D258" s="130"/>
      <c r="F258" s="130"/>
      <c r="G258" s="130"/>
      <c r="H258" s="130"/>
      <c r="K258" s="149"/>
      <c r="L258" s="130"/>
      <c r="M258" s="130"/>
      <c r="N258" s="130"/>
      <c r="O258" s="130"/>
      <c r="P258" s="130"/>
      <c r="Q258" s="130"/>
      <c r="R258" s="130"/>
      <c r="S258" s="130"/>
      <c r="T258" s="130"/>
      <c r="U258" s="130"/>
      <c r="V258" s="130"/>
    </row>
    <row r="259" spans="4:22" ht="12.75">
      <c r="D259" s="130"/>
      <c r="F259" s="130"/>
      <c r="G259" s="130"/>
      <c r="H259" s="130"/>
      <c r="K259" s="149"/>
      <c r="L259" s="130"/>
      <c r="M259" s="130"/>
      <c r="N259" s="130"/>
      <c r="O259" s="130"/>
      <c r="P259" s="130"/>
      <c r="Q259" s="130"/>
      <c r="R259" s="130"/>
      <c r="S259" s="130"/>
      <c r="T259" s="130"/>
      <c r="U259" s="130"/>
      <c r="V259" s="130"/>
    </row>
    <row r="260" spans="4:22" ht="12.75">
      <c r="D260" s="130"/>
      <c r="F260" s="130"/>
      <c r="G260" s="130"/>
      <c r="H260" s="130"/>
      <c r="K260" s="149"/>
      <c r="L260" s="130"/>
      <c r="M260" s="130"/>
      <c r="N260" s="130"/>
      <c r="O260" s="130"/>
      <c r="P260" s="130"/>
      <c r="Q260" s="130"/>
      <c r="R260" s="130"/>
      <c r="S260" s="130"/>
      <c r="T260" s="130"/>
      <c r="U260" s="130"/>
      <c r="V260" s="130"/>
    </row>
    <row r="261" spans="4:22" ht="12.75">
      <c r="D261" s="130"/>
      <c r="F261" s="130"/>
      <c r="G261" s="130"/>
      <c r="H261" s="130"/>
      <c r="K261" s="149"/>
      <c r="L261" s="130"/>
      <c r="M261" s="130"/>
      <c r="N261" s="130"/>
      <c r="O261" s="130"/>
      <c r="P261" s="130"/>
      <c r="Q261" s="130"/>
      <c r="R261" s="130"/>
      <c r="S261" s="130"/>
      <c r="T261" s="130"/>
      <c r="U261" s="130"/>
      <c r="V261" s="130"/>
    </row>
    <row r="262" spans="4:22" ht="12.75">
      <c r="D262" s="130"/>
      <c r="F262" s="130"/>
      <c r="G262" s="130"/>
      <c r="H262" s="130"/>
      <c r="K262" s="149"/>
      <c r="L262" s="130"/>
      <c r="M262" s="130"/>
      <c r="N262" s="130"/>
      <c r="O262" s="130"/>
      <c r="P262" s="130"/>
      <c r="Q262" s="130"/>
      <c r="R262" s="130"/>
      <c r="S262" s="130"/>
      <c r="T262" s="130"/>
      <c r="U262" s="130"/>
      <c r="V262" s="130"/>
    </row>
    <row r="263" spans="4:22" ht="12.75">
      <c r="D263" s="130"/>
      <c r="F263" s="130"/>
      <c r="G263" s="130"/>
      <c r="H263" s="130"/>
      <c r="K263" s="149"/>
      <c r="L263" s="130"/>
      <c r="M263" s="130"/>
      <c r="N263" s="130"/>
      <c r="O263" s="130"/>
      <c r="P263" s="130"/>
      <c r="Q263" s="130"/>
      <c r="R263" s="130"/>
      <c r="S263" s="130"/>
      <c r="T263" s="130"/>
      <c r="U263" s="130"/>
      <c r="V263" s="130"/>
    </row>
    <row r="264" spans="4:22" ht="12.75">
      <c r="D264" s="130"/>
      <c r="F264" s="130"/>
      <c r="G264" s="130"/>
      <c r="H264" s="130"/>
      <c r="K264" s="149"/>
      <c r="L264" s="130"/>
      <c r="M264" s="130"/>
      <c r="N264" s="130"/>
      <c r="O264" s="130"/>
      <c r="P264" s="130"/>
      <c r="Q264" s="130"/>
      <c r="R264" s="130"/>
      <c r="S264" s="130"/>
      <c r="T264" s="130"/>
      <c r="U264" s="130"/>
      <c r="V264" s="130"/>
    </row>
    <row r="265" spans="4:22" ht="12.75">
      <c r="D265" s="130"/>
      <c r="F265" s="130"/>
      <c r="G265" s="130"/>
      <c r="H265" s="130"/>
      <c r="K265" s="149"/>
      <c r="L265" s="130"/>
      <c r="M265" s="130"/>
      <c r="N265" s="130"/>
      <c r="O265" s="130"/>
      <c r="P265" s="130"/>
      <c r="Q265" s="130"/>
      <c r="R265" s="130"/>
      <c r="S265" s="130"/>
      <c r="T265" s="130"/>
      <c r="U265" s="130"/>
      <c r="V265" s="130"/>
    </row>
    <row r="266" spans="4:22" ht="12.75">
      <c r="D266" s="130"/>
      <c r="F266" s="130"/>
      <c r="G266" s="130"/>
      <c r="H266" s="130"/>
      <c r="K266" s="149"/>
      <c r="L266" s="130"/>
      <c r="M266" s="130"/>
      <c r="N266" s="130"/>
      <c r="O266" s="130"/>
      <c r="P266" s="130"/>
      <c r="Q266" s="130"/>
      <c r="R266" s="130"/>
      <c r="S266" s="130"/>
      <c r="T266" s="130"/>
      <c r="U266" s="130"/>
      <c r="V266" s="130"/>
    </row>
    <row r="267" spans="4:22" ht="12.75">
      <c r="D267" s="130"/>
      <c r="F267" s="130"/>
      <c r="G267" s="130"/>
      <c r="H267" s="130"/>
      <c r="K267" s="149"/>
      <c r="L267" s="130"/>
      <c r="M267" s="130"/>
      <c r="N267" s="130"/>
      <c r="O267" s="130"/>
      <c r="P267" s="130"/>
      <c r="Q267" s="130"/>
      <c r="R267" s="130"/>
      <c r="S267" s="130"/>
      <c r="T267" s="130"/>
      <c r="U267" s="130"/>
      <c r="V267" s="130"/>
    </row>
    <row r="268" spans="4:22" ht="12.75">
      <c r="D268" s="130"/>
      <c r="F268" s="130"/>
      <c r="G268" s="130"/>
      <c r="H268" s="130"/>
      <c r="K268" s="149"/>
      <c r="L268" s="130"/>
      <c r="M268" s="130"/>
      <c r="N268" s="130"/>
      <c r="O268" s="130"/>
      <c r="P268" s="130"/>
      <c r="Q268" s="130"/>
      <c r="R268" s="130"/>
      <c r="S268" s="130"/>
      <c r="T268" s="130"/>
      <c r="U268" s="130"/>
      <c r="V268" s="130"/>
    </row>
    <row r="269" spans="4:22" ht="12.75">
      <c r="D269" s="130"/>
      <c r="F269" s="130"/>
      <c r="G269" s="130"/>
      <c r="H269" s="130"/>
      <c r="K269" s="149"/>
      <c r="L269" s="130"/>
      <c r="M269" s="130"/>
      <c r="N269" s="130"/>
      <c r="O269" s="130"/>
      <c r="P269" s="130"/>
      <c r="Q269" s="130"/>
      <c r="R269" s="130"/>
      <c r="S269" s="130"/>
      <c r="T269" s="130"/>
      <c r="U269" s="130"/>
      <c r="V269" s="130"/>
    </row>
    <row r="270" spans="4:22" ht="12.75">
      <c r="D270" s="130"/>
      <c r="F270" s="130"/>
      <c r="G270" s="130"/>
      <c r="H270" s="130"/>
      <c r="K270" s="149"/>
      <c r="L270" s="130"/>
      <c r="M270" s="130"/>
      <c r="N270" s="130"/>
      <c r="O270" s="130"/>
      <c r="P270" s="130"/>
      <c r="Q270" s="130"/>
      <c r="R270" s="130"/>
      <c r="S270" s="130"/>
      <c r="T270" s="130"/>
      <c r="U270" s="130"/>
      <c r="V270" s="130"/>
    </row>
    <row r="271" spans="4:22" ht="12.75">
      <c r="D271" s="130"/>
      <c r="F271" s="130"/>
      <c r="G271" s="130"/>
      <c r="H271" s="130"/>
      <c r="K271" s="149"/>
      <c r="L271" s="130"/>
      <c r="M271" s="130"/>
      <c r="N271" s="130"/>
      <c r="O271" s="130"/>
      <c r="P271" s="130"/>
      <c r="Q271" s="130"/>
      <c r="R271" s="130"/>
      <c r="S271" s="130"/>
      <c r="T271" s="130"/>
      <c r="U271" s="130"/>
      <c r="V271" s="130"/>
    </row>
    <row r="272" spans="4:22" ht="12.75">
      <c r="D272" s="130"/>
      <c r="F272" s="130"/>
      <c r="G272" s="130"/>
      <c r="H272" s="130"/>
      <c r="K272" s="149"/>
      <c r="L272" s="130"/>
      <c r="M272" s="130"/>
      <c r="N272" s="130"/>
      <c r="O272" s="130"/>
      <c r="P272" s="130"/>
      <c r="Q272" s="130"/>
      <c r="R272" s="130"/>
      <c r="S272" s="130"/>
      <c r="T272" s="130"/>
      <c r="U272" s="130"/>
      <c r="V272" s="130"/>
    </row>
    <row r="273" spans="4:22" ht="12.75">
      <c r="D273" s="130"/>
      <c r="F273" s="130"/>
      <c r="G273" s="130"/>
      <c r="H273" s="130"/>
      <c r="K273" s="149"/>
      <c r="L273" s="130"/>
      <c r="M273" s="130"/>
      <c r="N273" s="130"/>
      <c r="O273" s="130"/>
      <c r="P273" s="130"/>
      <c r="Q273" s="130"/>
      <c r="R273" s="130"/>
      <c r="S273" s="130"/>
      <c r="T273" s="130"/>
      <c r="U273" s="130"/>
      <c r="V273" s="130"/>
    </row>
    <row r="274" spans="4:22" ht="12.75">
      <c r="D274" s="130"/>
      <c r="F274" s="130"/>
      <c r="G274" s="130"/>
      <c r="H274" s="130"/>
      <c r="K274" s="149"/>
      <c r="L274" s="130"/>
      <c r="M274" s="130"/>
      <c r="N274" s="130"/>
      <c r="O274" s="130"/>
      <c r="P274" s="130"/>
      <c r="Q274" s="130"/>
      <c r="R274" s="130"/>
      <c r="S274" s="130"/>
      <c r="T274" s="130"/>
      <c r="U274" s="130"/>
      <c r="V274" s="130"/>
    </row>
    <row r="275" spans="4:22" ht="12.75">
      <c r="D275" s="130"/>
      <c r="F275" s="130"/>
      <c r="G275" s="130"/>
      <c r="H275" s="130"/>
      <c r="K275" s="149"/>
      <c r="L275" s="130"/>
      <c r="M275" s="130"/>
      <c r="N275" s="130"/>
      <c r="O275" s="130"/>
      <c r="P275" s="130"/>
      <c r="Q275" s="130"/>
      <c r="R275" s="130"/>
      <c r="S275" s="130"/>
      <c r="T275" s="130"/>
      <c r="U275" s="130"/>
      <c r="V275" s="130"/>
    </row>
    <row r="276" spans="4:22" ht="12.75">
      <c r="D276" s="130"/>
      <c r="F276" s="130"/>
      <c r="G276" s="130"/>
      <c r="H276" s="130"/>
      <c r="K276" s="149"/>
      <c r="L276" s="130"/>
      <c r="M276" s="130"/>
      <c r="N276" s="130"/>
      <c r="O276" s="130"/>
      <c r="P276" s="130"/>
      <c r="Q276" s="130"/>
      <c r="R276" s="130"/>
      <c r="S276" s="130"/>
      <c r="T276" s="130"/>
      <c r="U276" s="130"/>
      <c r="V276" s="130"/>
    </row>
    <row r="277" spans="4:22" ht="12.75">
      <c r="D277" s="130"/>
      <c r="F277" s="130"/>
      <c r="G277" s="130"/>
      <c r="H277" s="130"/>
      <c r="K277" s="149"/>
      <c r="L277" s="130"/>
      <c r="M277" s="130"/>
      <c r="N277" s="130"/>
      <c r="O277" s="130"/>
      <c r="P277" s="130"/>
      <c r="Q277" s="130"/>
      <c r="R277" s="130"/>
      <c r="S277" s="130"/>
      <c r="T277" s="130"/>
      <c r="U277" s="130"/>
      <c r="V277" s="130"/>
    </row>
    <row r="278" spans="4:22" ht="12.75">
      <c r="D278" s="130"/>
      <c r="F278" s="130"/>
      <c r="G278" s="130"/>
      <c r="H278" s="130"/>
      <c r="K278" s="149"/>
      <c r="L278" s="130"/>
      <c r="M278" s="130"/>
      <c r="N278" s="130"/>
      <c r="O278" s="130"/>
      <c r="P278" s="130"/>
      <c r="Q278" s="130"/>
      <c r="R278" s="130"/>
      <c r="S278" s="130"/>
      <c r="T278" s="130"/>
      <c r="U278" s="130"/>
      <c r="V278" s="130"/>
    </row>
    <row r="279" spans="4:22" ht="12.75">
      <c r="D279" s="130"/>
      <c r="F279" s="130"/>
      <c r="G279" s="130"/>
      <c r="H279" s="130"/>
      <c r="K279" s="149"/>
      <c r="L279" s="130"/>
      <c r="M279" s="130"/>
      <c r="N279" s="130"/>
      <c r="O279" s="130"/>
      <c r="P279" s="130"/>
      <c r="Q279" s="130"/>
      <c r="R279" s="130"/>
      <c r="S279" s="130"/>
      <c r="T279" s="130"/>
      <c r="U279" s="130"/>
      <c r="V279" s="130"/>
    </row>
    <row r="280" spans="4:22" ht="12.75">
      <c r="D280" s="130"/>
      <c r="F280" s="130"/>
      <c r="G280" s="130"/>
      <c r="H280" s="130"/>
      <c r="K280" s="149"/>
      <c r="L280" s="130"/>
      <c r="M280" s="130"/>
      <c r="N280" s="130"/>
      <c r="O280" s="130"/>
      <c r="P280" s="130"/>
      <c r="Q280" s="130"/>
      <c r="R280" s="130"/>
      <c r="S280" s="130"/>
      <c r="T280" s="130"/>
      <c r="U280" s="130"/>
      <c r="V280" s="130"/>
    </row>
    <row r="281" spans="4:22" ht="12.75">
      <c r="D281" s="130"/>
      <c r="F281" s="130"/>
      <c r="G281" s="130"/>
      <c r="H281" s="130"/>
      <c r="K281" s="149"/>
      <c r="L281" s="130"/>
      <c r="M281" s="130"/>
      <c r="N281" s="130"/>
      <c r="O281" s="130"/>
      <c r="P281" s="130"/>
      <c r="Q281" s="130"/>
      <c r="R281" s="130"/>
      <c r="S281" s="130"/>
      <c r="T281" s="130"/>
      <c r="U281" s="130"/>
      <c r="V281" s="130"/>
    </row>
    <row r="282" spans="4:22" ht="12.75">
      <c r="D282" s="130"/>
      <c r="F282" s="130"/>
      <c r="G282" s="130"/>
      <c r="H282" s="130"/>
      <c r="K282" s="149"/>
      <c r="L282" s="130"/>
      <c r="M282" s="130"/>
      <c r="N282" s="130"/>
      <c r="O282" s="130"/>
      <c r="P282" s="130"/>
      <c r="Q282" s="130"/>
      <c r="R282" s="130"/>
      <c r="S282" s="130"/>
      <c r="T282" s="130"/>
      <c r="U282" s="130"/>
      <c r="V282" s="130"/>
    </row>
    <row r="283" spans="6:22" ht="12.75">
      <c r="F283" s="130"/>
      <c r="G283" s="130"/>
      <c r="H283" s="130"/>
      <c r="K283" s="149"/>
      <c r="L283" s="130"/>
      <c r="M283" s="130"/>
      <c r="N283" s="130"/>
      <c r="O283" s="130"/>
      <c r="P283" s="130"/>
      <c r="Q283" s="130"/>
      <c r="R283" s="130"/>
      <c r="S283" s="130"/>
      <c r="T283" s="130"/>
      <c r="U283" s="130"/>
      <c r="V283" s="130"/>
    </row>
    <row r="284" spans="6:22" ht="12.75">
      <c r="F284" s="130"/>
      <c r="G284" s="130"/>
      <c r="H284" s="130"/>
      <c r="K284" s="149"/>
      <c r="L284" s="130"/>
      <c r="M284" s="130"/>
      <c r="N284" s="130"/>
      <c r="O284" s="130"/>
      <c r="P284" s="130"/>
      <c r="Q284" s="130"/>
      <c r="R284" s="130"/>
      <c r="S284" s="130"/>
      <c r="T284" s="130"/>
      <c r="U284" s="130"/>
      <c r="V284" s="130"/>
    </row>
    <row r="285" spans="6:22" ht="12.75">
      <c r="F285" s="130"/>
      <c r="G285" s="130"/>
      <c r="H285" s="130"/>
      <c r="K285" s="149"/>
      <c r="L285" s="130"/>
      <c r="M285" s="130"/>
      <c r="N285" s="130"/>
      <c r="O285" s="130"/>
      <c r="P285" s="130"/>
      <c r="Q285" s="130"/>
      <c r="R285" s="130"/>
      <c r="S285" s="130"/>
      <c r="T285" s="130"/>
      <c r="U285" s="130"/>
      <c r="V285" s="130"/>
    </row>
    <row r="286" spans="6:22" ht="12.75">
      <c r="F286" s="130"/>
      <c r="G286" s="130"/>
      <c r="H286" s="130"/>
      <c r="K286" s="149"/>
      <c r="L286" s="130"/>
      <c r="M286" s="130"/>
      <c r="N286" s="130"/>
      <c r="O286" s="130"/>
      <c r="P286" s="130"/>
      <c r="Q286" s="130"/>
      <c r="R286" s="130"/>
      <c r="S286" s="130"/>
      <c r="T286" s="130"/>
      <c r="U286" s="130"/>
      <c r="V286" s="130"/>
    </row>
    <row r="287" spans="6:22" ht="12.75">
      <c r="F287" s="130"/>
      <c r="G287" s="130"/>
      <c r="H287" s="130"/>
      <c r="K287" s="149"/>
      <c r="L287" s="130"/>
      <c r="M287" s="130"/>
      <c r="N287" s="130"/>
      <c r="O287" s="130"/>
      <c r="P287" s="130"/>
      <c r="Q287" s="130"/>
      <c r="R287" s="130"/>
      <c r="S287" s="130"/>
      <c r="T287" s="130"/>
      <c r="U287" s="130"/>
      <c r="V287" s="130"/>
    </row>
    <row r="288" spans="6:22" ht="12.75">
      <c r="F288" s="130"/>
      <c r="G288" s="130"/>
      <c r="H288" s="130"/>
      <c r="K288" s="149"/>
      <c r="L288" s="130"/>
      <c r="M288" s="130"/>
      <c r="N288" s="130"/>
      <c r="O288" s="130"/>
      <c r="P288" s="130"/>
      <c r="Q288" s="130"/>
      <c r="R288" s="130"/>
      <c r="S288" s="130"/>
      <c r="T288" s="130"/>
      <c r="U288" s="130"/>
      <c r="V288" s="130"/>
    </row>
    <row r="289" spans="6:22" ht="12.75">
      <c r="F289" s="130"/>
      <c r="G289" s="130"/>
      <c r="H289" s="130"/>
      <c r="K289" s="149"/>
      <c r="L289" s="130"/>
      <c r="M289" s="130"/>
      <c r="N289" s="130"/>
      <c r="O289" s="130"/>
      <c r="P289" s="130"/>
      <c r="Q289" s="130"/>
      <c r="R289" s="130"/>
      <c r="S289" s="130"/>
      <c r="T289" s="130"/>
      <c r="U289" s="130"/>
      <c r="V289" s="130"/>
    </row>
    <row r="290" spans="11:22" ht="12.75">
      <c r="K290" s="149"/>
      <c r="L290" s="130"/>
      <c r="M290" s="130"/>
      <c r="N290" s="130"/>
      <c r="O290" s="130"/>
      <c r="P290" s="130"/>
      <c r="Q290" s="130"/>
      <c r="R290" s="130"/>
      <c r="S290" s="130"/>
      <c r="T290" s="130"/>
      <c r="U290" s="130"/>
      <c r="V290" s="130"/>
    </row>
    <row r="291" spans="11:22" ht="12.75">
      <c r="K291" s="149"/>
      <c r="L291" s="130"/>
      <c r="M291" s="130"/>
      <c r="N291" s="130"/>
      <c r="O291" s="130"/>
      <c r="P291" s="130"/>
      <c r="Q291" s="130"/>
      <c r="R291" s="130"/>
      <c r="S291" s="130"/>
      <c r="T291" s="130"/>
      <c r="U291" s="130"/>
      <c r="V291" s="130"/>
    </row>
    <row r="292" spans="11:22" ht="12.75">
      <c r="K292" s="149"/>
      <c r="L292" s="130"/>
      <c r="M292" s="130"/>
      <c r="N292" s="130"/>
      <c r="O292" s="130"/>
      <c r="P292" s="130"/>
      <c r="Q292" s="130"/>
      <c r="R292" s="130"/>
      <c r="S292" s="130"/>
      <c r="T292" s="130"/>
      <c r="U292" s="130"/>
      <c r="V292" s="130"/>
    </row>
    <row r="293" spans="11:22" ht="12.75">
      <c r="K293" s="149"/>
      <c r="L293" s="130"/>
      <c r="M293" s="130"/>
      <c r="N293" s="130"/>
      <c r="O293" s="130"/>
      <c r="P293" s="130"/>
      <c r="Q293" s="130"/>
      <c r="R293" s="130"/>
      <c r="S293" s="130"/>
      <c r="T293" s="130"/>
      <c r="U293" s="130"/>
      <c r="V293" s="130"/>
    </row>
    <row r="294" spans="11:22" ht="12.75">
      <c r="K294" s="149"/>
      <c r="L294" s="130"/>
      <c r="M294" s="130"/>
      <c r="N294" s="130"/>
      <c r="O294" s="130"/>
      <c r="P294" s="130"/>
      <c r="Q294" s="130"/>
      <c r="R294" s="130"/>
      <c r="S294" s="130"/>
      <c r="T294" s="130"/>
      <c r="U294" s="130"/>
      <c r="V294" s="130"/>
    </row>
    <row r="295" spans="11:22" ht="12.75">
      <c r="K295" s="149"/>
      <c r="L295" s="130"/>
      <c r="M295" s="130"/>
      <c r="N295" s="130"/>
      <c r="O295" s="130"/>
      <c r="P295" s="130"/>
      <c r="Q295" s="130"/>
      <c r="R295" s="130"/>
      <c r="S295" s="130"/>
      <c r="T295" s="130"/>
      <c r="U295" s="130"/>
      <c r="V295" s="130"/>
    </row>
    <row r="296" spans="11:22" ht="12.75">
      <c r="K296" s="149"/>
      <c r="L296" s="130"/>
      <c r="M296" s="130"/>
      <c r="N296" s="130"/>
      <c r="O296" s="130"/>
      <c r="P296" s="130"/>
      <c r="Q296" s="130"/>
      <c r="R296" s="130"/>
      <c r="S296" s="130"/>
      <c r="T296" s="130"/>
      <c r="U296" s="130"/>
      <c r="V296" s="130"/>
    </row>
    <row r="297" spans="11:22" ht="12.75">
      <c r="K297" s="149"/>
      <c r="L297" s="130"/>
      <c r="M297" s="130"/>
      <c r="N297" s="130"/>
      <c r="O297" s="130"/>
      <c r="P297" s="130"/>
      <c r="Q297" s="130"/>
      <c r="R297" s="130"/>
      <c r="S297" s="130"/>
      <c r="T297" s="130"/>
      <c r="U297" s="130"/>
      <c r="V297" s="130"/>
    </row>
    <row r="298" spans="11:22" ht="12.75">
      <c r="K298" s="149"/>
      <c r="L298" s="130"/>
      <c r="M298" s="130"/>
      <c r="N298" s="130"/>
      <c r="O298" s="130"/>
      <c r="P298" s="130"/>
      <c r="Q298" s="130"/>
      <c r="R298" s="130"/>
      <c r="S298" s="130"/>
      <c r="T298" s="130"/>
      <c r="U298" s="130"/>
      <c r="V298" s="130"/>
    </row>
    <row r="299" spans="11:22" ht="12.75">
      <c r="K299" s="149"/>
      <c r="L299" s="130"/>
      <c r="M299" s="130"/>
      <c r="N299" s="130"/>
      <c r="O299" s="130"/>
      <c r="P299" s="130"/>
      <c r="Q299" s="130"/>
      <c r="R299" s="130"/>
      <c r="S299" s="130"/>
      <c r="T299" s="130"/>
      <c r="U299" s="130"/>
      <c r="V299" s="130"/>
    </row>
    <row r="300" spans="11:22" ht="12.75">
      <c r="K300" s="149"/>
      <c r="L300" s="130"/>
      <c r="M300" s="130"/>
      <c r="N300" s="130"/>
      <c r="O300" s="130"/>
      <c r="P300" s="130"/>
      <c r="Q300" s="130"/>
      <c r="R300" s="130"/>
      <c r="S300" s="130"/>
      <c r="T300" s="130"/>
      <c r="U300" s="130"/>
      <c r="V300" s="130"/>
    </row>
    <row r="301" spans="11:22" ht="12.75">
      <c r="K301" s="149"/>
      <c r="L301" s="130"/>
      <c r="M301" s="130"/>
      <c r="N301" s="130"/>
      <c r="O301" s="130"/>
      <c r="P301" s="130"/>
      <c r="Q301" s="130"/>
      <c r="R301" s="130"/>
      <c r="S301" s="130"/>
      <c r="T301" s="130"/>
      <c r="U301" s="130"/>
      <c r="V301" s="130"/>
    </row>
    <row r="302" spans="11:22" ht="12.75">
      <c r="K302" s="149"/>
      <c r="L302" s="130"/>
      <c r="M302" s="130"/>
      <c r="N302" s="130"/>
      <c r="O302" s="130"/>
      <c r="P302" s="130"/>
      <c r="Q302" s="130"/>
      <c r="R302" s="130"/>
      <c r="S302" s="130"/>
      <c r="T302" s="130"/>
      <c r="U302" s="130"/>
      <c r="V302" s="130"/>
    </row>
    <row r="303" spans="11:22" ht="12.75">
      <c r="K303" s="149"/>
      <c r="L303" s="130"/>
      <c r="M303" s="130"/>
      <c r="N303" s="130"/>
      <c r="O303" s="130"/>
      <c r="P303" s="130"/>
      <c r="Q303" s="130"/>
      <c r="R303" s="130"/>
      <c r="S303" s="130"/>
      <c r="T303" s="130"/>
      <c r="U303" s="130"/>
      <c r="V303" s="130"/>
    </row>
    <row r="304" spans="11:22" ht="12.75">
      <c r="K304" s="149"/>
      <c r="L304" s="130"/>
      <c r="M304" s="130"/>
      <c r="N304" s="130"/>
      <c r="O304" s="130"/>
      <c r="P304" s="130"/>
      <c r="Q304" s="130"/>
      <c r="R304" s="130"/>
      <c r="S304" s="130"/>
      <c r="T304" s="130"/>
      <c r="U304" s="130"/>
      <c r="V304" s="130"/>
    </row>
    <row r="305" spans="11:22" ht="12.75">
      <c r="K305" s="149"/>
      <c r="L305" s="130"/>
      <c r="M305" s="130"/>
      <c r="N305" s="130"/>
      <c r="O305" s="130"/>
      <c r="P305" s="130"/>
      <c r="Q305" s="130"/>
      <c r="R305" s="130"/>
      <c r="S305" s="130"/>
      <c r="T305" s="130"/>
      <c r="U305" s="130"/>
      <c r="V305" s="130"/>
    </row>
    <row r="306" spans="11:22" ht="12.75">
      <c r="K306" s="149"/>
      <c r="L306" s="130"/>
      <c r="M306" s="130"/>
      <c r="N306" s="130"/>
      <c r="O306" s="130"/>
      <c r="P306" s="130"/>
      <c r="Q306" s="130"/>
      <c r="R306" s="130"/>
      <c r="S306" s="130"/>
      <c r="T306" s="130"/>
      <c r="U306" s="130"/>
      <c r="V306" s="130"/>
    </row>
  </sheetData>
  <sheetProtection password="CC64" sheet="1"/>
  <mergeCells count="27">
    <mergeCell ref="A1:F1"/>
    <mergeCell ref="H30:I30"/>
    <mergeCell ref="A4:C4"/>
    <mergeCell ref="E4:F4"/>
    <mergeCell ref="T7:U7"/>
    <mergeCell ref="A5:C5"/>
    <mergeCell ref="F22:I23"/>
    <mergeCell ref="H27:I27"/>
    <mergeCell ref="AG29:AH29"/>
    <mergeCell ref="E2:J2"/>
    <mergeCell ref="X50:AA50"/>
    <mergeCell ref="M35:N35"/>
    <mergeCell ref="M36:N36"/>
    <mergeCell ref="H46:I46"/>
    <mergeCell ref="H47:I47"/>
    <mergeCell ref="Z39:AA39"/>
    <mergeCell ref="H48:I48"/>
    <mergeCell ref="H26:I26"/>
    <mergeCell ref="L135:O135"/>
    <mergeCell ref="E5:F5"/>
    <mergeCell ref="H67:J68"/>
    <mergeCell ref="W67:Y68"/>
    <mergeCell ref="M69:O69"/>
    <mergeCell ref="Q69:S69"/>
    <mergeCell ref="H43:I44"/>
    <mergeCell ref="H38:I42"/>
    <mergeCell ref="X51:AA65"/>
  </mergeCells>
  <conditionalFormatting sqref="E108">
    <cfRule type="containsText" priority="54" dxfId="17" operator="containsText" stopIfTrue="1" text="FAIL">
      <formula>NOT(ISERROR(SEARCH("FAIL",E108)))</formula>
    </cfRule>
    <cfRule type="containsText" priority="55" dxfId="16" operator="containsText" stopIfTrue="1" text="PASS">
      <formula>NOT(ISERROR(SEARCH("PASS",E108)))</formula>
    </cfRule>
  </conditionalFormatting>
  <conditionalFormatting sqref="J108">
    <cfRule type="containsText" priority="52" dxfId="17" operator="containsText" stopIfTrue="1" text="FAIL">
      <formula>NOT(ISERROR(SEARCH("FAIL",J108)))</formula>
    </cfRule>
    <cfRule type="containsText" priority="53" dxfId="16" operator="containsText" stopIfTrue="1" text="PASS">
      <formula>NOT(ISERROR(SEARCH("PASS",J108)))</formula>
    </cfRule>
  </conditionalFormatting>
  <conditionalFormatting sqref="E116">
    <cfRule type="containsText" priority="50" dxfId="17" operator="containsText" stopIfTrue="1" text="FAIL">
      <formula>NOT(ISERROR(SEARCH("FAIL",E116)))</formula>
    </cfRule>
    <cfRule type="containsText" priority="51" dxfId="16" operator="containsText" stopIfTrue="1" text="PASS">
      <formula>NOT(ISERROR(SEARCH("PASS",E116)))</formula>
    </cfRule>
  </conditionalFormatting>
  <conditionalFormatting sqref="J116">
    <cfRule type="containsText" priority="48" dxfId="17" operator="containsText" stopIfTrue="1" text="FAIL">
      <formula>NOT(ISERROR(SEARCH("FAIL",J116)))</formula>
    </cfRule>
    <cfRule type="containsText" priority="49" dxfId="16" operator="containsText" stopIfTrue="1" text="PASS">
      <formula>NOT(ISERROR(SEARCH("PASS",J116)))</formula>
    </cfRule>
  </conditionalFormatting>
  <conditionalFormatting sqref="D116">
    <cfRule type="expression" priority="186" dxfId="17" stopIfTrue="1">
      <formula>$D$116&lt;$M$125</formula>
    </cfRule>
    <cfRule type="expression" priority="187" dxfId="16" stopIfTrue="1">
      <formula>$D$116&gt;=$M$125</formula>
    </cfRule>
  </conditionalFormatting>
  <conditionalFormatting sqref="I116">
    <cfRule type="expression" priority="188" dxfId="17" stopIfTrue="1">
      <formula>$I$116&lt;$M$125</formula>
    </cfRule>
    <cfRule type="expression" priority="189" dxfId="16" stopIfTrue="1">
      <formula>$I$116&gt;=$M$125</formula>
    </cfRule>
  </conditionalFormatting>
  <conditionalFormatting sqref="D108">
    <cfRule type="expression" priority="190" dxfId="17" stopIfTrue="1">
      <formula>$D$108&lt;$M$125</formula>
    </cfRule>
    <cfRule type="expression" priority="191" dxfId="16" stopIfTrue="1">
      <formula>$D$108&gt;=$M$125</formula>
    </cfRule>
  </conditionalFormatting>
  <conditionalFormatting sqref="I108">
    <cfRule type="expression" priority="192" dxfId="17" stopIfTrue="1">
      <formula>$I$108&lt;$M$125</formula>
    </cfRule>
    <cfRule type="expression" priority="193" dxfId="16" stopIfTrue="1">
      <formula>$I$108&gt;=$M$125</formula>
    </cfRule>
  </conditionalFormatting>
  <conditionalFormatting sqref="C25">
    <cfRule type="containsText" priority="47" dxfId="32" operator="containsText" stopIfTrue="1" text="above">
      <formula>NOT(ISERROR(SEARCH("above",C25)))</formula>
    </cfRule>
  </conditionalFormatting>
  <conditionalFormatting sqref="D37">
    <cfRule type="cellIs" priority="15" dxfId="2" operator="notEqual" stopIfTrue="1">
      <formula>$N$37</formula>
    </cfRule>
  </conditionalFormatting>
  <conditionalFormatting sqref="D38">
    <cfRule type="cellIs" priority="14" dxfId="2" operator="notEqual" stopIfTrue="1">
      <formula>$N$38</formula>
    </cfRule>
  </conditionalFormatting>
  <conditionalFormatting sqref="D39">
    <cfRule type="cellIs" priority="13" dxfId="2" operator="notEqual" stopIfTrue="1">
      <formula>$N$40</formula>
    </cfRule>
  </conditionalFormatting>
  <conditionalFormatting sqref="D40">
    <cfRule type="cellIs" priority="12" dxfId="2" operator="notEqual" stopIfTrue="1">
      <formula>$N$39</formula>
    </cfRule>
  </conditionalFormatting>
  <conditionalFormatting sqref="D41">
    <cfRule type="cellIs" priority="11" dxfId="2" operator="notEqual" stopIfTrue="1">
      <formula>$N$41</formula>
    </cfRule>
  </conditionalFormatting>
  <conditionalFormatting sqref="D44">
    <cfRule type="cellIs" priority="10" dxfId="2" operator="notEqual" stopIfTrue="1">
      <formula>$N$44</formula>
    </cfRule>
  </conditionalFormatting>
  <conditionalFormatting sqref="D45">
    <cfRule type="cellIs" priority="9" dxfId="2" operator="notEqual" stopIfTrue="1">
      <formula>$N$45</formula>
    </cfRule>
  </conditionalFormatting>
  <conditionalFormatting sqref="D46">
    <cfRule type="cellIs" priority="8" dxfId="2" operator="notEqual" stopIfTrue="1">
      <formula>$N$46</formula>
    </cfRule>
  </conditionalFormatting>
  <conditionalFormatting sqref="D47">
    <cfRule type="cellIs" priority="7" dxfId="2" operator="notEqual" stopIfTrue="1">
      <formula>$N$47</formula>
    </cfRule>
  </conditionalFormatting>
  <conditionalFormatting sqref="D53">
    <cfRule type="cellIs" priority="6" dxfId="2" operator="notEqual" stopIfTrue="1">
      <formula>$N$53</formula>
    </cfRule>
  </conditionalFormatting>
  <conditionalFormatting sqref="D55">
    <cfRule type="cellIs" priority="5" dxfId="2" operator="notEqual" stopIfTrue="1">
      <formula>$N$55</formula>
    </cfRule>
  </conditionalFormatting>
  <conditionalFormatting sqref="D58">
    <cfRule type="cellIs" priority="4" dxfId="2" operator="notEqual" stopIfTrue="1">
      <formula>$N$58</formula>
    </cfRule>
  </conditionalFormatting>
  <conditionalFormatting sqref="D59">
    <cfRule type="cellIs" priority="3" dxfId="2" operator="notEqual" stopIfTrue="1">
      <formula>$N$59</formula>
    </cfRule>
  </conditionalFormatting>
  <conditionalFormatting sqref="F22">
    <cfRule type="expression" priority="1" dxfId="0" stopIfTrue="1">
      <formula>$P$26&lt;$P$27</formula>
    </cfRule>
    <cfRule type="expression" priority="2" dxfId="0" stopIfTrue="1">
      <formula>$P$26&gt;$P$27</formula>
    </cfRule>
  </conditionalFormatting>
  <dataValidations count="4">
    <dataValidation type="list" allowBlank="1" showInputMessage="1" showErrorMessage="1" sqref="F71:F78">
      <formula1>$O$84:$O$85</formula1>
    </dataValidation>
    <dataValidation type="list" allowBlank="1" showInputMessage="1" showErrorMessage="1" sqref="G71:G78">
      <formula1>$Q$84:$Q$88</formula1>
    </dataValidation>
    <dataValidation type="list" allowBlank="1" showInputMessage="1" showErrorMessage="1" sqref="B55 B47 T99:T104 I118 B45 T106 T108:T109 D118">
      <formula1>$AH$55:$AH$56</formula1>
    </dataValidation>
    <dataValidation type="list" allowBlank="1" showInputMessage="1" showErrorMessage="1" sqref="I99">
      <formula1>$L$129:$L$131</formula1>
    </dataValidation>
  </dataValidations>
  <printOptions/>
  <pageMargins left="0.31496062992125984" right="0.3937007874015748" top="0.2755905511811024" bottom="0.1968503937007874" header="0.31496062992125984" footer="0.1968503937007874"/>
  <pageSetup fitToHeight="2" horizontalDpi="600" verticalDpi="600" orientation="landscape" paperSize="9" scale="65" r:id="rId4"/>
  <rowBreaks count="1" manualBreakCount="1">
    <brk id="65" max="26" man="1"/>
  </rowBreaks>
  <drawing r:id="rId3"/>
  <legacyDrawing r:id="rId2"/>
</worksheet>
</file>

<file path=xl/worksheets/sheet3.xml><?xml version="1.0" encoding="utf-8"?>
<worksheet xmlns="http://schemas.openxmlformats.org/spreadsheetml/2006/main" xmlns:r="http://schemas.openxmlformats.org/officeDocument/2006/relationships">
  <dimension ref="A1:Z121"/>
  <sheetViews>
    <sheetView zoomScalePageLayoutView="0" workbookViewId="0" topLeftCell="A1">
      <selection activeCell="I26" sqref="I26"/>
    </sheetView>
  </sheetViews>
  <sheetFormatPr defaultColWidth="9.140625" defaultRowHeight="12.75"/>
  <cols>
    <col min="1" max="3" width="9.140625" style="19" customWidth="1"/>
    <col min="4" max="4" width="45.00390625" style="19" customWidth="1"/>
    <col min="5" max="16384" width="9.140625" style="19" customWidth="1"/>
  </cols>
  <sheetData>
    <row r="1" ht="12.75">
      <c r="A1" s="12" t="s">
        <v>240</v>
      </c>
    </row>
    <row r="2" ht="12.75">
      <c r="A2" s="12"/>
    </row>
    <row r="3" ht="18.75">
      <c r="A3" s="331" t="s">
        <v>242</v>
      </c>
    </row>
    <row r="5" ht="15">
      <c r="A5" s="332" t="s">
        <v>243</v>
      </c>
    </row>
    <row r="7" ht="18.75">
      <c r="A7" s="331" t="s">
        <v>241</v>
      </c>
    </row>
    <row r="8" ht="18.75">
      <c r="A8" s="333"/>
    </row>
    <row r="9" ht="15">
      <c r="A9" s="334" t="s">
        <v>292</v>
      </c>
    </row>
    <row r="10" spans="1:5" ht="15">
      <c r="A10" s="335" t="s">
        <v>244</v>
      </c>
      <c r="E10" s="332" t="s">
        <v>245</v>
      </c>
    </row>
    <row r="11" spans="1:5" ht="15">
      <c r="A11" s="20" t="s">
        <v>246</v>
      </c>
      <c r="E11" s="332" t="s">
        <v>247</v>
      </c>
    </row>
    <row r="12" spans="1:19" ht="15">
      <c r="A12" s="336" t="s">
        <v>45</v>
      </c>
      <c r="B12" s="332"/>
      <c r="C12" s="332"/>
      <c r="D12" s="332"/>
      <c r="E12" s="332" t="s">
        <v>248</v>
      </c>
      <c r="F12" s="332"/>
      <c r="G12" s="332"/>
      <c r="H12" s="332"/>
      <c r="I12" s="332"/>
      <c r="J12" s="332"/>
      <c r="K12" s="332"/>
      <c r="L12" s="332"/>
      <c r="M12" s="332"/>
      <c r="N12" s="332"/>
      <c r="O12" s="332"/>
      <c r="P12" s="332"/>
      <c r="Q12" s="332"/>
      <c r="R12" s="332"/>
      <c r="S12" s="332"/>
    </row>
    <row r="13" spans="1:19" ht="15">
      <c r="A13" s="336" t="s">
        <v>293</v>
      </c>
      <c r="B13" s="332"/>
      <c r="C13" s="332"/>
      <c r="D13" s="332"/>
      <c r="E13" s="332" t="s">
        <v>294</v>
      </c>
      <c r="F13" s="332"/>
      <c r="G13" s="332"/>
      <c r="H13" s="332"/>
      <c r="I13" s="332"/>
      <c r="J13" s="332"/>
      <c r="K13" s="332"/>
      <c r="L13" s="332"/>
      <c r="M13" s="332"/>
      <c r="N13" s="332"/>
      <c r="O13" s="332"/>
      <c r="P13" s="332"/>
      <c r="Q13" s="332"/>
      <c r="R13" s="332"/>
      <c r="S13" s="332"/>
    </row>
    <row r="14" spans="1:19" ht="15">
      <c r="A14" s="336"/>
      <c r="B14" s="332"/>
      <c r="C14" s="332"/>
      <c r="D14" s="332"/>
      <c r="E14" s="332"/>
      <c r="F14" s="332"/>
      <c r="G14" s="332"/>
      <c r="H14" s="332"/>
      <c r="I14" s="332"/>
      <c r="J14" s="332"/>
      <c r="K14" s="332"/>
      <c r="L14" s="332"/>
      <c r="M14" s="332"/>
      <c r="N14" s="332"/>
      <c r="O14" s="332"/>
      <c r="P14" s="332"/>
      <c r="Q14" s="332"/>
      <c r="R14" s="332"/>
      <c r="S14" s="332"/>
    </row>
    <row r="15" spans="1:26" ht="15">
      <c r="A15" s="334" t="s">
        <v>295</v>
      </c>
      <c r="B15" s="332"/>
      <c r="C15" s="332"/>
      <c r="D15" s="332"/>
      <c r="E15" s="332"/>
      <c r="F15" s="332"/>
      <c r="G15" s="332"/>
      <c r="H15" s="332"/>
      <c r="I15" s="332"/>
      <c r="J15" s="332"/>
      <c r="K15" s="332"/>
      <c r="L15" s="332"/>
      <c r="M15" s="332"/>
      <c r="N15" s="332"/>
      <c r="O15" s="332"/>
      <c r="P15" s="332"/>
      <c r="Q15" s="332"/>
      <c r="R15" s="332"/>
      <c r="S15" s="332"/>
      <c r="T15" s="337"/>
      <c r="U15" s="337"/>
      <c r="V15" s="337"/>
      <c r="W15" s="337"/>
      <c r="X15" s="337"/>
      <c r="Y15" s="337"/>
      <c r="Z15" s="337"/>
    </row>
    <row r="16" spans="1:19" ht="15">
      <c r="A16" s="338" t="s">
        <v>249</v>
      </c>
      <c r="B16" s="332"/>
      <c r="C16" s="332"/>
      <c r="D16" s="332"/>
      <c r="E16" s="332" t="s">
        <v>250</v>
      </c>
      <c r="F16" s="332"/>
      <c r="G16" s="332"/>
      <c r="H16" s="332"/>
      <c r="I16" s="332"/>
      <c r="J16" s="332"/>
      <c r="K16" s="332"/>
      <c r="L16" s="332"/>
      <c r="M16" s="332"/>
      <c r="N16" s="332"/>
      <c r="O16" s="332"/>
      <c r="P16" s="332"/>
      <c r="Q16" s="332"/>
      <c r="R16" s="332"/>
      <c r="S16" s="332"/>
    </row>
    <row r="17" spans="1:19" ht="15">
      <c r="A17" s="338"/>
      <c r="B17" s="332"/>
      <c r="C17" s="332"/>
      <c r="D17" s="332"/>
      <c r="E17" s="332"/>
      <c r="F17" s="332"/>
      <c r="G17" s="332"/>
      <c r="H17" s="332"/>
      <c r="I17" s="332"/>
      <c r="J17" s="332"/>
      <c r="K17" s="332"/>
      <c r="L17" s="332"/>
      <c r="M17" s="332"/>
      <c r="N17" s="332"/>
      <c r="O17" s="332"/>
      <c r="P17" s="332"/>
      <c r="Q17" s="332"/>
      <c r="R17" s="332"/>
      <c r="S17" s="332"/>
    </row>
    <row r="18" spans="1:19" ht="15">
      <c r="A18" s="339" t="s">
        <v>296</v>
      </c>
      <c r="B18" s="332"/>
      <c r="C18" s="332"/>
      <c r="D18" s="332"/>
      <c r="E18" s="332"/>
      <c r="F18" s="332"/>
      <c r="G18" s="332"/>
      <c r="H18" s="332"/>
      <c r="I18" s="332"/>
      <c r="J18" s="332"/>
      <c r="K18" s="332"/>
      <c r="L18" s="332"/>
      <c r="M18" s="332"/>
      <c r="N18" s="332"/>
      <c r="O18" s="332"/>
      <c r="P18" s="332"/>
      <c r="Q18" s="332"/>
      <c r="R18" s="332"/>
      <c r="S18" s="332"/>
    </row>
    <row r="19" spans="1:19" ht="15">
      <c r="A19" s="338" t="s">
        <v>210</v>
      </c>
      <c r="B19" s="332"/>
      <c r="C19" s="332"/>
      <c r="D19" s="332"/>
      <c r="E19" s="332" t="s">
        <v>251</v>
      </c>
      <c r="F19" s="332"/>
      <c r="G19" s="332"/>
      <c r="H19" s="332"/>
      <c r="I19" s="332"/>
      <c r="J19" s="332"/>
      <c r="K19" s="332"/>
      <c r="L19" s="332"/>
      <c r="M19" s="332"/>
      <c r="N19" s="332"/>
      <c r="O19" s="332"/>
      <c r="P19" s="332"/>
      <c r="Q19" s="332"/>
      <c r="R19" s="332"/>
      <c r="S19" s="332"/>
    </row>
    <row r="20" spans="1:19" ht="15">
      <c r="A20" s="338" t="s">
        <v>212</v>
      </c>
      <c r="B20" s="332"/>
      <c r="C20" s="332"/>
      <c r="D20" s="332"/>
      <c r="E20" s="332" t="s">
        <v>252</v>
      </c>
      <c r="F20" s="332"/>
      <c r="G20" s="332"/>
      <c r="H20" s="332"/>
      <c r="I20" s="332"/>
      <c r="J20" s="332"/>
      <c r="K20" s="332"/>
      <c r="L20" s="332"/>
      <c r="M20" s="332"/>
      <c r="N20" s="332"/>
      <c r="O20" s="332"/>
      <c r="P20" s="332"/>
      <c r="Q20" s="332"/>
      <c r="R20" s="332"/>
      <c r="S20" s="332"/>
    </row>
    <row r="21" spans="1:19" ht="15">
      <c r="A21" s="338"/>
      <c r="B21" s="332"/>
      <c r="C21" s="332"/>
      <c r="D21" s="332"/>
      <c r="E21" s="332"/>
      <c r="F21" s="332"/>
      <c r="G21" s="332"/>
      <c r="H21" s="332"/>
      <c r="I21" s="332"/>
      <c r="J21" s="332"/>
      <c r="K21" s="332"/>
      <c r="L21" s="332"/>
      <c r="M21" s="332"/>
      <c r="N21" s="332"/>
      <c r="O21" s="332"/>
      <c r="P21" s="332"/>
      <c r="Q21" s="332"/>
      <c r="R21" s="332"/>
      <c r="S21" s="332"/>
    </row>
    <row r="22" spans="1:19" ht="15">
      <c r="A22" s="338" t="s">
        <v>36</v>
      </c>
      <c r="B22" s="332"/>
      <c r="C22" s="332"/>
      <c r="D22" s="332"/>
      <c r="E22" s="332" t="s">
        <v>253</v>
      </c>
      <c r="F22" s="332"/>
      <c r="G22" s="332"/>
      <c r="H22" s="332"/>
      <c r="I22" s="332"/>
      <c r="J22" s="332"/>
      <c r="K22" s="332"/>
      <c r="L22" s="332"/>
      <c r="M22" s="332"/>
      <c r="N22" s="332"/>
      <c r="O22" s="332"/>
      <c r="P22" s="332"/>
      <c r="Q22" s="332"/>
      <c r="R22" s="332"/>
      <c r="S22" s="332"/>
    </row>
    <row r="23" spans="1:19" ht="15">
      <c r="A23" s="338"/>
      <c r="B23" s="332"/>
      <c r="C23" s="332"/>
      <c r="D23" s="332"/>
      <c r="E23" s="332"/>
      <c r="F23" s="332"/>
      <c r="G23" s="332"/>
      <c r="H23" s="332"/>
      <c r="I23" s="332"/>
      <c r="J23" s="332"/>
      <c r="K23" s="332"/>
      <c r="L23" s="332"/>
      <c r="M23" s="332"/>
      <c r="N23" s="332"/>
      <c r="O23" s="332"/>
      <c r="P23" s="332"/>
      <c r="Q23" s="332"/>
      <c r="R23" s="332"/>
      <c r="S23" s="332"/>
    </row>
    <row r="24" spans="1:19" ht="15">
      <c r="A24" s="339" t="s">
        <v>297</v>
      </c>
      <c r="B24" s="332"/>
      <c r="C24" s="332"/>
      <c r="D24" s="332"/>
      <c r="E24" s="332"/>
      <c r="F24" s="332"/>
      <c r="G24" s="332"/>
      <c r="H24" s="332"/>
      <c r="I24" s="332"/>
      <c r="J24" s="332"/>
      <c r="K24" s="332"/>
      <c r="L24" s="332"/>
      <c r="M24" s="332"/>
      <c r="N24" s="332"/>
      <c r="O24" s="332"/>
      <c r="P24" s="332"/>
      <c r="Q24" s="332"/>
      <c r="R24" s="332"/>
      <c r="S24" s="332"/>
    </row>
    <row r="25" spans="1:19" ht="15">
      <c r="A25" s="338" t="s">
        <v>93</v>
      </c>
      <c r="B25" s="332"/>
      <c r="C25" s="332"/>
      <c r="D25" s="332"/>
      <c r="E25" s="332" t="s">
        <v>254</v>
      </c>
      <c r="F25" s="332"/>
      <c r="G25" s="332"/>
      <c r="H25" s="332"/>
      <c r="I25" s="332"/>
      <c r="J25" s="332"/>
      <c r="K25" s="332"/>
      <c r="L25" s="332"/>
      <c r="M25" s="332"/>
      <c r="N25" s="332"/>
      <c r="O25" s="332"/>
      <c r="P25" s="332"/>
      <c r="Q25" s="332"/>
      <c r="R25" s="332"/>
      <c r="S25" s="332"/>
    </row>
    <row r="26" spans="1:19" ht="15">
      <c r="A26" s="338"/>
      <c r="B26" s="332"/>
      <c r="C26" s="332"/>
      <c r="D26" s="332"/>
      <c r="E26" s="332"/>
      <c r="F26" s="332"/>
      <c r="G26" s="332"/>
      <c r="H26" s="332"/>
      <c r="I26" s="332"/>
      <c r="J26" s="332"/>
      <c r="K26" s="332"/>
      <c r="L26" s="332"/>
      <c r="M26" s="332"/>
      <c r="N26" s="332"/>
      <c r="O26" s="332"/>
      <c r="P26" s="332"/>
      <c r="Q26" s="332"/>
      <c r="R26" s="332"/>
      <c r="S26" s="332"/>
    </row>
    <row r="27" spans="1:19" ht="15">
      <c r="A27" s="338" t="s">
        <v>255</v>
      </c>
      <c r="B27" s="332"/>
      <c r="C27" s="332"/>
      <c r="D27" s="332"/>
      <c r="E27" s="332" t="s">
        <v>256</v>
      </c>
      <c r="F27" s="332"/>
      <c r="G27" s="332"/>
      <c r="H27" s="332"/>
      <c r="I27" s="332"/>
      <c r="J27" s="332"/>
      <c r="K27" s="332"/>
      <c r="L27" s="332"/>
      <c r="M27" s="332"/>
      <c r="N27" s="332"/>
      <c r="O27" s="332"/>
      <c r="P27" s="332"/>
      <c r="Q27" s="332"/>
      <c r="R27" s="332"/>
      <c r="S27" s="332"/>
    </row>
    <row r="28" spans="1:19" ht="15">
      <c r="A28" s="338"/>
      <c r="B28" s="332"/>
      <c r="C28" s="332"/>
      <c r="D28" s="332"/>
      <c r="E28" s="332"/>
      <c r="F28" s="332"/>
      <c r="G28" s="332"/>
      <c r="H28" s="332"/>
      <c r="I28" s="332"/>
      <c r="J28" s="332"/>
      <c r="K28" s="332"/>
      <c r="L28" s="332"/>
      <c r="M28" s="332"/>
      <c r="N28" s="332"/>
      <c r="O28" s="332"/>
      <c r="P28" s="332"/>
      <c r="Q28" s="332"/>
      <c r="R28" s="332"/>
      <c r="S28" s="332"/>
    </row>
    <row r="29" spans="1:19" ht="18.75">
      <c r="A29" s="331" t="s">
        <v>257</v>
      </c>
      <c r="B29" s="337"/>
      <c r="C29" s="337"/>
      <c r="D29" s="337"/>
      <c r="E29" s="337"/>
      <c r="F29" s="337"/>
      <c r="G29" s="337"/>
      <c r="H29" s="337"/>
      <c r="I29" s="337"/>
      <c r="J29" s="337"/>
      <c r="K29" s="337"/>
      <c r="L29" s="337"/>
      <c r="M29" s="337"/>
      <c r="N29" s="337"/>
      <c r="O29" s="337"/>
      <c r="P29" s="337"/>
      <c r="Q29" s="337"/>
      <c r="R29" s="337"/>
      <c r="S29" s="337"/>
    </row>
    <row r="30" spans="1:19" ht="12.75">
      <c r="A30" s="337"/>
      <c r="B30" s="337"/>
      <c r="C30" s="337"/>
      <c r="D30" s="337"/>
      <c r="E30" s="337"/>
      <c r="F30" s="337"/>
      <c r="G30" s="337"/>
      <c r="H30" s="337"/>
      <c r="I30" s="337"/>
      <c r="J30" s="337"/>
      <c r="K30" s="337"/>
      <c r="L30" s="337"/>
      <c r="M30" s="337"/>
      <c r="N30" s="337"/>
      <c r="O30" s="337"/>
      <c r="P30" s="337"/>
      <c r="Q30" s="337"/>
      <c r="R30" s="337"/>
      <c r="S30" s="337"/>
    </row>
    <row r="31" spans="1:20" ht="15">
      <c r="A31" s="338" t="s">
        <v>258</v>
      </c>
      <c r="B31" s="337"/>
      <c r="C31" s="337"/>
      <c r="D31" s="337"/>
      <c r="E31" s="332" t="s">
        <v>259</v>
      </c>
      <c r="F31" s="332"/>
      <c r="G31" s="332"/>
      <c r="H31" s="332"/>
      <c r="I31" s="332"/>
      <c r="J31" s="332"/>
      <c r="K31" s="332"/>
      <c r="L31" s="332"/>
      <c r="M31" s="332"/>
      <c r="N31" s="332"/>
      <c r="O31" s="332"/>
      <c r="P31" s="332"/>
      <c r="Q31" s="332"/>
      <c r="R31" s="332"/>
      <c r="S31" s="332"/>
      <c r="T31" s="340"/>
    </row>
    <row r="32" spans="1:20" ht="15">
      <c r="A32" s="335" t="s">
        <v>260</v>
      </c>
      <c r="B32" s="337"/>
      <c r="C32" s="337"/>
      <c r="D32" s="337"/>
      <c r="E32" s="332" t="s">
        <v>316</v>
      </c>
      <c r="F32" s="332"/>
      <c r="G32" s="332"/>
      <c r="H32" s="332"/>
      <c r="I32" s="332"/>
      <c r="J32" s="332"/>
      <c r="K32" s="332"/>
      <c r="L32" s="332"/>
      <c r="M32" s="332"/>
      <c r="N32" s="332"/>
      <c r="O32" s="332"/>
      <c r="P32" s="332"/>
      <c r="Q32" s="332"/>
      <c r="R32" s="332"/>
      <c r="S32" s="332"/>
      <c r="T32" s="340"/>
    </row>
    <row r="33" spans="1:20" ht="15">
      <c r="A33" s="335" t="s">
        <v>261</v>
      </c>
      <c r="B33" s="337"/>
      <c r="C33" s="337"/>
      <c r="D33" s="337"/>
      <c r="E33" s="332" t="s">
        <v>262</v>
      </c>
      <c r="F33" s="332"/>
      <c r="G33" s="332"/>
      <c r="H33" s="332"/>
      <c r="I33" s="332"/>
      <c r="J33" s="332"/>
      <c r="K33" s="332"/>
      <c r="L33" s="332"/>
      <c r="M33" s="332"/>
      <c r="N33" s="332"/>
      <c r="O33" s="332"/>
      <c r="P33" s="332"/>
      <c r="Q33" s="332"/>
      <c r="R33" s="332"/>
      <c r="S33" s="332"/>
      <c r="T33" s="340"/>
    </row>
    <row r="34" spans="1:20" ht="15">
      <c r="A34" s="335" t="s">
        <v>263</v>
      </c>
      <c r="B34" s="337"/>
      <c r="C34" s="337"/>
      <c r="D34" s="337"/>
      <c r="E34" s="332" t="s">
        <v>317</v>
      </c>
      <c r="F34" s="332"/>
      <c r="G34" s="332"/>
      <c r="H34" s="332"/>
      <c r="I34" s="332"/>
      <c r="J34" s="332"/>
      <c r="K34" s="332"/>
      <c r="L34" s="332"/>
      <c r="M34" s="332"/>
      <c r="N34" s="332"/>
      <c r="O34" s="332"/>
      <c r="P34" s="332"/>
      <c r="Q34" s="332"/>
      <c r="R34" s="332"/>
      <c r="S34" s="332"/>
      <c r="T34" s="340"/>
    </row>
    <row r="35" spans="2:19" ht="15">
      <c r="B35" s="332"/>
      <c r="C35" s="332"/>
      <c r="D35" s="332"/>
      <c r="E35" s="332"/>
      <c r="F35" s="332"/>
      <c r="G35" s="332"/>
      <c r="H35" s="332"/>
      <c r="I35" s="332"/>
      <c r="J35" s="332"/>
      <c r="K35" s="332"/>
      <c r="L35" s="332"/>
      <c r="M35" s="332"/>
      <c r="N35" s="332"/>
      <c r="O35" s="332"/>
      <c r="P35" s="332"/>
      <c r="Q35" s="332"/>
      <c r="R35" s="337"/>
      <c r="S35" s="337"/>
    </row>
    <row r="36" spans="1:19" ht="15">
      <c r="A36" s="339" t="s">
        <v>264</v>
      </c>
      <c r="R36" s="337"/>
      <c r="S36" s="337"/>
    </row>
    <row r="37" spans="1:19" ht="15">
      <c r="A37" s="338" t="s">
        <v>121</v>
      </c>
      <c r="E37" s="332" t="s">
        <v>298</v>
      </c>
      <c r="R37" s="337"/>
      <c r="S37" s="337"/>
    </row>
    <row r="38" spans="1:19" ht="15">
      <c r="A38" s="20" t="s">
        <v>27</v>
      </c>
      <c r="B38" s="332"/>
      <c r="C38" s="332"/>
      <c r="D38" s="332"/>
      <c r="E38" s="332" t="s">
        <v>265</v>
      </c>
      <c r="F38" s="332"/>
      <c r="G38" s="332"/>
      <c r="H38" s="332"/>
      <c r="I38" s="332"/>
      <c r="J38" s="332"/>
      <c r="K38" s="332"/>
      <c r="L38" s="332"/>
      <c r="M38" s="332"/>
      <c r="N38" s="332"/>
      <c r="O38" s="332"/>
      <c r="P38" s="332"/>
      <c r="Q38" s="332"/>
      <c r="R38" s="337"/>
      <c r="S38" s="337"/>
    </row>
    <row r="39" spans="1:19" ht="15">
      <c r="A39" s="338" t="s">
        <v>266</v>
      </c>
      <c r="B39" s="332"/>
      <c r="C39" s="332"/>
      <c r="D39" s="332"/>
      <c r="E39" s="332" t="s">
        <v>267</v>
      </c>
      <c r="F39" s="332"/>
      <c r="G39" s="332"/>
      <c r="H39" s="332"/>
      <c r="I39" s="332"/>
      <c r="J39" s="332"/>
      <c r="K39" s="332"/>
      <c r="L39" s="332"/>
      <c r="M39" s="332"/>
      <c r="N39" s="332"/>
      <c r="O39" s="332"/>
      <c r="P39" s="332"/>
      <c r="Q39" s="332"/>
      <c r="R39" s="337"/>
      <c r="S39" s="337"/>
    </row>
    <row r="40" spans="1:19" ht="15">
      <c r="A40" s="338" t="s">
        <v>268</v>
      </c>
      <c r="B40" s="332"/>
      <c r="C40" s="332"/>
      <c r="D40" s="332"/>
      <c r="E40" s="332" t="s">
        <v>269</v>
      </c>
      <c r="F40" s="332"/>
      <c r="G40" s="332"/>
      <c r="H40" s="332"/>
      <c r="I40" s="332"/>
      <c r="J40" s="332"/>
      <c r="K40" s="332"/>
      <c r="L40" s="332"/>
      <c r="M40" s="332"/>
      <c r="N40" s="332"/>
      <c r="O40" s="332"/>
      <c r="P40" s="332"/>
      <c r="Q40" s="332"/>
      <c r="R40" s="337"/>
      <c r="S40" s="337"/>
    </row>
    <row r="41" spans="1:19" ht="15">
      <c r="A41" s="338" t="s">
        <v>228</v>
      </c>
      <c r="B41" s="332"/>
      <c r="C41" s="332"/>
      <c r="D41" s="332"/>
      <c r="E41" s="332" t="s">
        <v>270</v>
      </c>
      <c r="F41" s="332"/>
      <c r="G41" s="332"/>
      <c r="H41" s="332"/>
      <c r="I41" s="332"/>
      <c r="J41" s="332"/>
      <c r="K41" s="332"/>
      <c r="L41" s="332"/>
      <c r="M41" s="332"/>
      <c r="N41" s="332"/>
      <c r="O41" s="332"/>
      <c r="P41" s="332"/>
      <c r="Q41" s="332"/>
      <c r="R41" s="337"/>
      <c r="S41" s="337"/>
    </row>
    <row r="42" spans="1:19" ht="15">
      <c r="A42" s="338" t="s">
        <v>299</v>
      </c>
      <c r="B42" s="332"/>
      <c r="C42" s="332"/>
      <c r="D42" s="332"/>
      <c r="E42" s="332" t="s">
        <v>271</v>
      </c>
      <c r="F42" s="332"/>
      <c r="G42" s="332"/>
      <c r="H42" s="332"/>
      <c r="I42" s="332"/>
      <c r="J42" s="332"/>
      <c r="K42" s="332"/>
      <c r="L42" s="332"/>
      <c r="M42" s="332"/>
      <c r="N42" s="332"/>
      <c r="O42" s="332"/>
      <c r="P42" s="332"/>
      <c r="Q42" s="332"/>
      <c r="R42" s="337"/>
      <c r="S42" s="337"/>
    </row>
    <row r="43" spans="1:19" ht="15">
      <c r="A43" s="338"/>
      <c r="B43" s="332"/>
      <c r="C43" s="332"/>
      <c r="D43" s="332"/>
      <c r="E43" s="332"/>
      <c r="F43" s="332"/>
      <c r="G43" s="332"/>
      <c r="H43" s="332"/>
      <c r="I43" s="332"/>
      <c r="J43" s="332"/>
      <c r="K43" s="332"/>
      <c r="L43" s="332"/>
      <c r="M43" s="332"/>
      <c r="N43" s="332"/>
      <c r="O43" s="332"/>
      <c r="P43" s="332"/>
      <c r="Q43" s="332"/>
      <c r="R43" s="337"/>
      <c r="S43" s="337"/>
    </row>
    <row r="44" spans="1:19" ht="15">
      <c r="A44" s="338" t="s">
        <v>458</v>
      </c>
      <c r="B44" s="332"/>
      <c r="C44" s="332"/>
      <c r="D44" s="332"/>
      <c r="E44" s="332"/>
      <c r="F44" s="332"/>
      <c r="G44" s="332"/>
      <c r="H44" s="332"/>
      <c r="I44" s="332"/>
      <c r="J44" s="332"/>
      <c r="K44" s="332"/>
      <c r="L44" s="332"/>
      <c r="M44" s="332"/>
      <c r="N44" s="332"/>
      <c r="O44" s="332"/>
      <c r="P44" s="332"/>
      <c r="Q44" s="332"/>
      <c r="R44" s="337"/>
      <c r="S44" s="337"/>
    </row>
    <row r="45" spans="18:19" ht="12.75">
      <c r="R45" s="337"/>
      <c r="S45" s="337"/>
    </row>
    <row r="46" spans="1:19" ht="15">
      <c r="A46" s="339" t="s">
        <v>28</v>
      </c>
      <c r="B46" s="332"/>
      <c r="C46" s="332"/>
      <c r="D46" s="332"/>
      <c r="E46" s="332"/>
      <c r="F46" s="332"/>
      <c r="G46" s="332"/>
      <c r="H46" s="332"/>
      <c r="I46" s="332"/>
      <c r="J46" s="332"/>
      <c r="K46" s="332"/>
      <c r="L46" s="332"/>
      <c r="M46" s="332"/>
      <c r="N46" s="332"/>
      <c r="O46" s="332"/>
      <c r="P46" s="332"/>
      <c r="Q46" s="332"/>
      <c r="R46" s="337"/>
      <c r="S46" s="337"/>
    </row>
    <row r="47" spans="1:19" ht="15">
      <c r="A47" s="338" t="s">
        <v>300</v>
      </c>
      <c r="B47" s="332"/>
      <c r="C47" s="332"/>
      <c r="D47" s="332"/>
      <c r="E47" s="332" t="s">
        <v>301</v>
      </c>
      <c r="F47" s="332"/>
      <c r="G47" s="332"/>
      <c r="H47" s="332"/>
      <c r="I47" s="332"/>
      <c r="J47" s="332"/>
      <c r="K47" s="332"/>
      <c r="L47" s="332"/>
      <c r="M47" s="332"/>
      <c r="N47" s="332"/>
      <c r="O47" s="332"/>
      <c r="P47" s="332"/>
      <c r="Q47" s="332"/>
      <c r="R47" s="337"/>
      <c r="S47" s="337"/>
    </row>
    <row r="48" spans="1:19" ht="15">
      <c r="A48" s="336" t="s">
        <v>272</v>
      </c>
      <c r="B48" s="332"/>
      <c r="C48" s="332"/>
      <c r="D48" s="332"/>
      <c r="E48" s="332" t="s">
        <v>273</v>
      </c>
      <c r="F48" s="332"/>
      <c r="G48" s="332"/>
      <c r="H48" s="332"/>
      <c r="I48" s="332"/>
      <c r="J48" s="332"/>
      <c r="K48" s="332"/>
      <c r="L48" s="332"/>
      <c r="M48" s="332"/>
      <c r="N48" s="332"/>
      <c r="O48" s="332"/>
      <c r="P48" s="332"/>
      <c r="Q48" s="332"/>
      <c r="R48" s="337"/>
      <c r="S48" s="337"/>
    </row>
    <row r="49" spans="1:19" ht="15">
      <c r="A49" s="336" t="s">
        <v>274</v>
      </c>
      <c r="B49" s="332"/>
      <c r="C49" s="332"/>
      <c r="D49" s="332"/>
      <c r="E49" s="332" t="s">
        <v>275</v>
      </c>
      <c r="F49" s="332"/>
      <c r="G49" s="332"/>
      <c r="H49" s="332"/>
      <c r="I49" s="332"/>
      <c r="J49" s="332"/>
      <c r="K49" s="332"/>
      <c r="L49" s="332"/>
      <c r="M49" s="332"/>
      <c r="N49" s="332"/>
      <c r="O49" s="332"/>
      <c r="P49" s="332"/>
      <c r="Q49" s="332"/>
      <c r="R49" s="337"/>
      <c r="S49" s="337"/>
    </row>
    <row r="50" spans="1:19" ht="15">
      <c r="A50" s="336" t="s">
        <v>302</v>
      </c>
      <c r="B50" s="332"/>
      <c r="C50" s="332"/>
      <c r="D50" s="332"/>
      <c r="E50" s="332" t="s">
        <v>303</v>
      </c>
      <c r="F50" s="332"/>
      <c r="G50" s="332"/>
      <c r="H50" s="332"/>
      <c r="I50" s="332"/>
      <c r="J50" s="332"/>
      <c r="K50" s="332"/>
      <c r="L50" s="332"/>
      <c r="M50" s="332"/>
      <c r="N50" s="332"/>
      <c r="O50" s="332"/>
      <c r="P50" s="332"/>
      <c r="Q50" s="332"/>
      <c r="R50" s="337"/>
      <c r="S50" s="337"/>
    </row>
    <row r="51" spans="1:19" ht="15">
      <c r="A51" s="336" t="s">
        <v>306</v>
      </c>
      <c r="B51" s="332"/>
      <c r="C51" s="332"/>
      <c r="D51" s="332"/>
      <c r="E51" s="332" t="s">
        <v>307</v>
      </c>
      <c r="F51" s="332"/>
      <c r="G51" s="332"/>
      <c r="H51" s="332"/>
      <c r="I51" s="332"/>
      <c r="J51" s="332"/>
      <c r="K51" s="332"/>
      <c r="L51" s="332"/>
      <c r="M51" s="332"/>
      <c r="N51" s="332"/>
      <c r="O51" s="332"/>
      <c r="P51" s="332"/>
      <c r="Q51" s="332"/>
      <c r="R51" s="337"/>
      <c r="S51" s="337"/>
    </row>
    <row r="52" spans="1:19" ht="15">
      <c r="A52" s="338" t="s">
        <v>304</v>
      </c>
      <c r="B52" s="332"/>
      <c r="C52" s="332"/>
      <c r="D52" s="332"/>
      <c r="E52" s="332" t="s">
        <v>305</v>
      </c>
      <c r="F52" s="332"/>
      <c r="G52" s="332"/>
      <c r="H52" s="332"/>
      <c r="I52" s="332"/>
      <c r="J52" s="332"/>
      <c r="K52" s="332"/>
      <c r="L52" s="332"/>
      <c r="M52" s="332"/>
      <c r="N52" s="332"/>
      <c r="O52" s="332"/>
      <c r="P52" s="332"/>
      <c r="Q52" s="332"/>
      <c r="R52" s="337"/>
      <c r="S52" s="337"/>
    </row>
    <row r="53" spans="1:19" ht="15">
      <c r="A53" s="338" t="s">
        <v>30</v>
      </c>
      <c r="B53" s="332"/>
      <c r="C53" s="332"/>
      <c r="D53" s="332"/>
      <c r="E53" s="332" t="s">
        <v>308</v>
      </c>
      <c r="F53" s="332"/>
      <c r="G53" s="332"/>
      <c r="H53" s="332"/>
      <c r="I53" s="332"/>
      <c r="J53" s="332"/>
      <c r="K53" s="332"/>
      <c r="L53" s="332"/>
      <c r="M53" s="332"/>
      <c r="N53" s="332"/>
      <c r="O53" s="332"/>
      <c r="P53" s="332"/>
      <c r="Q53" s="332"/>
      <c r="R53" s="337"/>
      <c r="S53" s="337"/>
    </row>
    <row r="54" spans="1:19" ht="15">
      <c r="A54" s="338" t="s">
        <v>309</v>
      </c>
      <c r="B54" s="332"/>
      <c r="C54" s="332"/>
      <c r="D54" s="332"/>
      <c r="E54" s="332" t="s">
        <v>310</v>
      </c>
      <c r="F54" s="332"/>
      <c r="G54" s="332"/>
      <c r="H54" s="332"/>
      <c r="I54" s="332"/>
      <c r="J54" s="332"/>
      <c r="K54" s="332"/>
      <c r="L54" s="332"/>
      <c r="M54" s="332"/>
      <c r="N54" s="332"/>
      <c r="O54" s="332"/>
      <c r="P54" s="332"/>
      <c r="Q54" s="332"/>
      <c r="R54" s="337"/>
      <c r="S54" s="337"/>
    </row>
    <row r="55" spans="1:19" ht="15">
      <c r="A55" s="338" t="s">
        <v>276</v>
      </c>
      <c r="B55" s="332"/>
      <c r="C55" s="332"/>
      <c r="D55" s="332"/>
      <c r="E55" s="332" t="s">
        <v>277</v>
      </c>
      <c r="F55" s="332"/>
      <c r="G55" s="332"/>
      <c r="H55" s="332"/>
      <c r="I55" s="332"/>
      <c r="J55" s="332"/>
      <c r="K55" s="332"/>
      <c r="L55" s="332"/>
      <c r="M55" s="332"/>
      <c r="N55" s="332"/>
      <c r="O55" s="332"/>
      <c r="P55" s="332"/>
      <c r="Q55" s="332"/>
      <c r="R55" s="337"/>
      <c r="S55" s="337"/>
    </row>
    <row r="56" spans="1:19" ht="15">
      <c r="A56" s="338"/>
      <c r="B56" s="332"/>
      <c r="C56" s="332"/>
      <c r="D56" s="332"/>
      <c r="E56" s="332"/>
      <c r="F56" s="332"/>
      <c r="G56" s="332"/>
      <c r="H56" s="332"/>
      <c r="I56" s="332"/>
      <c r="J56" s="332"/>
      <c r="K56" s="332"/>
      <c r="L56" s="332"/>
      <c r="M56" s="332"/>
      <c r="N56" s="332"/>
      <c r="O56" s="332"/>
      <c r="P56" s="332"/>
      <c r="Q56" s="332"/>
      <c r="R56" s="337"/>
      <c r="S56" s="337"/>
    </row>
    <row r="57" spans="1:19" ht="15">
      <c r="A57" s="339" t="s">
        <v>31</v>
      </c>
      <c r="B57" s="332"/>
      <c r="C57" s="332"/>
      <c r="D57" s="332"/>
      <c r="E57" s="332"/>
      <c r="F57" s="332"/>
      <c r="G57" s="332"/>
      <c r="H57" s="332"/>
      <c r="I57" s="332"/>
      <c r="J57" s="332"/>
      <c r="K57" s="332"/>
      <c r="L57" s="332"/>
      <c r="M57" s="332"/>
      <c r="N57" s="332"/>
      <c r="O57" s="332"/>
      <c r="P57" s="332"/>
      <c r="Q57" s="332"/>
      <c r="R57" s="337"/>
      <c r="S57" s="337"/>
    </row>
    <row r="58" spans="1:19" ht="15">
      <c r="A58" s="336" t="s">
        <v>278</v>
      </c>
      <c r="B58" s="332"/>
      <c r="C58" s="332"/>
      <c r="D58" s="332"/>
      <c r="E58" s="332" t="s">
        <v>279</v>
      </c>
      <c r="F58" s="332"/>
      <c r="G58" s="332"/>
      <c r="H58" s="332"/>
      <c r="I58" s="332"/>
      <c r="J58" s="332"/>
      <c r="K58" s="332"/>
      <c r="L58" s="332"/>
      <c r="M58" s="332"/>
      <c r="N58" s="332"/>
      <c r="O58" s="332"/>
      <c r="P58" s="332"/>
      <c r="Q58" s="332"/>
      <c r="R58" s="337"/>
      <c r="S58" s="337"/>
    </row>
    <row r="59" spans="1:20" ht="15">
      <c r="A59" s="336" t="s">
        <v>280</v>
      </c>
      <c r="E59" s="332" t="s">
        <v>281</v>
      </c>
      <c r="S59" s="337"/>
      <c r="T59" s="19" t="s">
        <v>32</v>
      </c>
    </row>
    <row r="60" spans="1:19" ht="15">
      <c r="A60" s="336" t="s">
        <v>311</v>
      </c>
      <c r="E60" s="332" t="s">
        <v>279</v>
      </c>
      <c r="S60" s="337"/>
    </row>
    <row r="61" spans="1:19" ht="15">
      <c r="A61" s="336"/>
      <c r="E61" s="332"/>
      <c r="S61" s="337"/>
    </row>
    <row r="62" spans="1:19" ht="15">
      <c r="A62" s="336" t="s">
        <v>153</v>
      </c>
      <c r="E62" s="332" t="s">
        <v>282</v>
      </c>
      <c r="S62" s="337"/>
    </row>
    <row r="63" spans="2:19" ht="15">
      <c r="B63" s="332"/>
      <c r="C63" s="332"/>
      <c r="D63" s="332"/>
      <c r="E63" s="332"/>
      <c r="F63" s="332"/>
      <c r="G63" s="332"/>
      <c r="H63" s="332"/>
      <c r="I63" s="332"/>
      <c r="J63" s="332"/>
      <c r="K63" s="332"/>
      <c r="L63" s="332"/>
      <c r="M63" s="332"/>
      <c r="N63" s="332"/>
      <c r="O63" s="332"/>
      <c r="P63" s="332"/>
      <c r="Q63" s="332"/>
      <c r="R63" s="337"/>
      <c r="S63" s="337"/>
    </row>
    <row r="64" spans="1:19" ht="15">
      <c r="A64" s="335" t="s">
        <v>98</v>
      </c>
      <c r="B64" s="332"/>
      <c r="C64" s="332"/>
      <c r="D64" s="332"/>
      <c r="E64" s="332" t="s">
        <v>318</v>
      </c>
      <c r="F64" s="332"/>
      <c r="G64" s="332"/>
      <c r="H64" s="332"/>
      <c r="I64" s="332"/>
      <c r="J64" s="332"/>
      <c r="K64" s="332"/>
      <c r="L64" s="332"/>
      <c r="M64" s="332"/>
      <c r="N64" s="332"/>
      <c r="O64" s="332"/>
      <c r="P64" s="332"/>
      <c r="Q64" s="332"/>
      <c r="R64" s="337"/>
      <c r="S64" s="337"/>
    </row>
    <row r="65" spans="1:19" ht="15">
      <c r="A65" s="335"/>
      <c r="B65" s="332"/>
      <c r="C65" s="332"/>
      <c r="D65" s="332"/>
      <c r="E65" s="332"/>
      <c r="F65" s="332"/>
      <c r="G65" s="332"/>
      <c r="H65" s="332"/>
      <c r="I65" s="332"/>
      <c r="J65" s="332"/>
      <c r="K65" s="332"/>
      <c r="L65" s="332"/>
      <c r="M65" s="332"/>
      <c r="N65" s="332"/>
      <c r="O65" s="332"/>
      <c r="P65" s="332"/>
      <c r="Q65" s="332"/>
      <c r="R65" s="337"/>
      <c r="S65" s="337"/>
    </row>
    <row r="66" spans="1:19" ht="15">
      <c r="A66" s="334" t="s">
        <v>312</v>
      </c>
      <c r="B66" s="337"/>
      <c r="C66" s="337"/>
      <c r="D66" s="337"/>
      <c r="E66" s="337"/>
      <c r="F66" s="337"/>
      <c r="G66" s="337"/>
      <c r="H66" s="337"/>
      <c r="I66" s="337"/>
      <c r="J66" s="337"/>
      <c r="K66" s="337"/>
      <c r="L66" s="337"/>
      <c r="M66" s="337"/>
      <c r="N66" s="337"/>
      <c r="O66" s="337"/>
      <c r="P66" s="337"/>
      <c r="Q66" s="337"/>
      <c r="R66" s="337"/>
      <c r="S66" s="337"/>
    </row>
    <row r="67" spans="1:19" ht="15">
      <c r="A67" s="335" t="s">
        <v>283</v>
      </c>
      <c r="B67" s="337"/>
      <c r="C67" s="337"/>
      <c r="D67" s="337"/>
      <c r="E67" s="332" t="s">
        <v>284</v>
      </c>
      <c r="F67" s="337"/>
      <c r="G67" s="337"/>
      <c r="H67" s="337"/>
      <c r="I67" s="337"/>
      <c r="J67" s="337"/>
      <c r="K67" s="337"/>
      <c r="L67" s="337"/>
      <c r="M67" s="337"/>
      <c r="N67" s="337"/>
      <c r="O67" s="337"/>
      <c r="P67" s="337"/>
      <c r="Q67" s="337"/>
      <c r="R67" s="337"/>
      <c r="S67" s="337"/>
    </row>
    <row r="68" spans="1:19" ht="15">
      <c r="A68" s="335"/>
      <c r="B68" s="337"/>
      <c r="C68" s="337"/>
      <c r="D68" s="337"/>
      <c r="E68" s="332" t="s">
        <v>313</v>
      </c>
      <c r="F68" s="337"/>
      <c r="G68" s="337"/>
      <c r="H68" s="337"/>
      <c r="I68" s="337"/>
      <c r="J68" s="337"/>
      <c r="K68" s="337"/>
      <c r="L68" s="337"/>
      <c r="M68" s="337"/>
      <c r="N68" s="337"/>
      <c r="O68" s="337"/>
      <c r="P68" s="337"/>
      <c r="Q68" s="337"/>
      <c r="R68" s="337"/>
      <c r="S68" s="337"/>
    </row>
    <row r="69" spans="1:19" ht="15">
      <c r="A69" s="335" t="s">
        <v>178</v>
      </c>
      <c r="B69" s="337"/>
      <c r="C69" s="337"/>
      <c r="D69" s="337"/>
      <c r="E69" s="332" t="s">
        <v>285</v>
      </c>
      <c r="F69" s="337"/>
      <c r="G69" s="337"/>
      <c r="H69" s="337"/>
      <c r="I69" s="337"/>
      <c r="J69" s="337"/>
      <c r="K69" s="337"/>
      <c r="L69" s="337"/>
      <c r="M69" s="337"/>
      <c r="N69" s="337"/>
      <c r="O69" s="337"/>
      <c r="P69" s="337"/>
      <c r="Q69" s="337"/>
      <c r="R69" s="337"/>
      <c r="S69" s="337"/>
    </row>
    <row r="70" spans="1:19" ht="15">
      <c r="A70" s="335" t="s">
        <v>177</v>
      </c>
      <c r="B70" s="337"/>
      <c r="C70" s="337"/>
      <c r="D70" s="337"/>
      <c r="E70" s="332" t="s">
        <v>286</v>
      </c>
      <c r="F70" s="337"/>
      <c r="G70" s="337"/>
      <c r="H70" s="337"/>
      <c r="I70" s="337"/>
      <c r="J70" s="337"/>
      <c r="K70" s="337"/>
      <c r="L70" s="337"/>
      <c r="M70" s="337"/>
      <c r="N70" s="337"/>
      <c r="O70" s="337"/>
      <c r="P70" s="337"/>
      <c r="Q70" s="337"/>
      <c r="R70" s="337"/>
      <c r="S70" s="337"/>
    </row>
    <row r="71" spans="1:19" ht="15">
      <c r="A71" s="335" t="s">
        <v>287</v>
      </c>
      <c r="B71" s="337"/>
      <c r="C71" s="337"/>
      <c r="D71" s="337"/>
      <c r="E71" s="332" t="s">
        <v>288</v>
      </c>
      <c r="F71" s="337"/>
      <c r="G71" s="337"/>
      <c r="H71" s="337"/>
      <c r="I71" s="337"/>
      <c r="J71" s="337"/>
      <c r="K71" s="337"/>
      <c r="L71" s="337"/>
      <c r="M71" s="337"/>
      <c r="N71" s="337"/>
      <c r="O71" s="337"/>
      <c r="P71" s="337"/>
      <c r="Q71" s="337"/>
      <c r="R71" s="337"/>
      <c r="S71" s="337"/>
    </row>
    <row r="72" spans="1:19" ht="15">
      <c r="A72" s="335"/>
      <c r="B72" s="337"/>
      <c r="C72" s="337"/>
      <c r="D72" s="337"/>
      <c r="E72" s="332"/>
      <c r="F72" s="337"/>
      <c r="G72" s="337"/>
      <c r="H72" s="337"/>
      <c r="I72" s="337"/>
      <c r="J72" s="337"/>
      <c r="K72" s="337"/>
      <c r="L72" s="337"/>
      <c r="M72" s="337"/>
      <c r="N72" s="337"/>
      <c r="O72" s="337"/>
      <c r="P72" s="337"/>
      <c r="Q72" s="337"/>
      <c r="R72" s="337"/>
      <c r="S72" s="337"/>
    </row>
    <row r="73" spans="1:19" ht="15">
      <c r="A73" s="20" t="s">
        <v>200</v>
      </c>
      <c r="B73" s="337"/>
      <c r="C73" s="337"/>
      <c r="D73" s="337"/>
      <c r="E73" s="332" t="s">
        <v>289</v>
      </c>
      <c r="F73" s="337"/>
      <c r="G73" s="337"/>
      <c r="H73" s="337"/>
      <c r="I73" s="337"/>
      <c r="J73" s="337"/>
      <c r="K73" s="337"/>
      <c r="L73" s="337"/>
      <c r="M73" s="337"/>
      <c r="N73" s="337"/>
      <c r="O73" s="337"/>
      <c r="P73" s="337"/>
      <c r="Q73" s="337"/>
      <c r="R73" s="337"/>
      <c r="S73" s="337"/>
    </row>
    <row r="74" spans="1:19" ht="15">
      <c r="A74" s="335"/>
      <c r="B74" s="337"/>
      <c r="C74" s="337"/>
      <c r="D74" s="337"/>
      <c r="E74" s="332"/>
      <c r="F74" s="337"/>
      <c r="G74" s="337"/>
      <c r="H74" s="337"/>
      <c r="I74" s="337"/>
      <c r="J74" s="337"/>
      <c r="K74" s="337"/>
      <c r="L74" s="337"/>
      <c r="M74" s="337"/>
      <c r="N74" s="337"/>
      <c r="O74" s="337"/>
      <c r="P74" s="337"/>
      <c r="Q74" s="337"/>
      <c r="R74" s="337"/>
      <c r="S74" s="337"/>
    </row>
    <row r="75" spans="1:19" ht="15">
      <c r="A75" s="335" t="s">
        <v>201</v>
      </c>
      <c r="B75" s="337"/>
      <c r="C75" s="337"/>
      <c r="D75" s="337"/>
      <c r="E75" s="332" t="s">
        <v>290</v>
      </c>
      <c r="F75" s="337"/>
      <c r="G75" s="337"/>
      <c r="H75" s="337"/>
      <c r="I75" s="337"/>
      <c r="J75" s="337"/>
      <c r="K75" s="337"/>
      <c r="L75" s="337"/>
      <c r="M75" s="337"/>
      <c r="N75" s="337"/>
      <c r="O75" s="337"/>
      <c r="P75" s="337"/>
      <c r="Q75" s="337"/>
      <c r="R75" s="337"/>
      <c r="S75" s="337"/>
    </row>
    <row r="76" spans="1:19" ht="15">
      <c r="A76" s="335"/>
      <c r="B76" s="337"/>
      <c r="C76" s="337"/>
      <c r="D76" s="337"/>
      <c r="E76" s="332"/>
      <c r="F76" s="337"/>
      <c r="G76" s="337"/>
      <c r="H76" s="337"/>
      <c r="I76" s="337"/>
      <c r="J76" s="337"/>
      <c r="K76" s="337"/>
      <c r="L76" s="337"/>
      <c r="M76" s="337"/>
      <c r="N76" s="337"/>
      <c r="O76" s="302"/>
      <c r="P76" s="337"/>
      <c r="Q76" s="337"/>
      <c r="R76" s="337"/>
      <c r="S76" s="337"/>
    </row>
    <row r="77" spans="1:25" s="130" customFormat="1" ht="15">
      <c r="A77" s="278" t="s">
        <v>330</v>
      </c>
      <c r="B77" s="337"/>
      <c r="C77" s="337"/>
      <c r="D77" s="337"/>
      <c r="E77" s="332"/>
      <c r="F77" s="337"/>
      <c r="G77" s="337"/>
      <c r="H77" s="337"/>
      <c r="I77" s="337"/>
      <c r="J77" s="337"/>
      <c r="K77" s="337"/>
      <c r="L77" s="337"/>
      <c r="M77" s="337"/>
      <c r="N77" s="337"/>
      <c r="O77" s="337"/>
      <c r="P77" s="337"/>
      <c r="Q77" s="337"/>
      <c r="R77" s="337"/>
      <c r="S77" s="337"/>
      <c r="T77" s="19"/>
      <c r="U77" s="19"/>
      <c r="V77" s="19"/>
      <c r="W77" s="19"/>
      <c r="X77" s="19"/>
      <c r="Y77" s="19"/>
    </row>
    <row r="78" spans="1:25" s="130" customFormat="1" ht="15">
      <c r="A78" s="335"/>
      <c r="B78" s="337"/>
      <c r="C78" s="337"/>
      <c r="D78" s="337"/>
      <c r="E78" s="332"/>
      <c r="F78" s="337"/>
      <c r="G78" s="337"/>
      <c r="H78" s="337"/>
      <c r="I78" s="337"/>
      <c r="J78" s="337"/>
      <c r="K78" s="337"/>
      <c r="L78" s="337"/>
      <c r="M78" s="337"/>
      <c r="N78" s="337"/>
      <c r="O78" s="337"/>
      <c r="P78" s="337"/>
      <c r="Q78" s="337"/>
      <c r="R78" s="337"/>
      <c r="S78" s="337"/>
      <c r="T78" s="19"/>
      <c r="U78" s="19"/>
      <c r="V78" s="19"/>
      <c r="W78" s="19"/>
      <c r="X78" s="19"/>
      <c r="Y78" s="19"/>
    </row>
    <row r="79" spans="1:25" s="130" customFormat="1" ht="15">
      <c r="A79" s="20" t="s">
        <v>209</v>
      </c>
      <c r="B79" s="337"/>
      <c r="C79" s="337"/>
      <c r="D79" s="337"/>
      <c r="F79" s="337"/>
      <c r="G79" s="337"/>
      <c r="H79" s="337"/>
      <c r="I79" s="337"/>
      <c r="J79" s="337"/>
      <c r="K79" s="337"/>
      <c r="L79" s="337"/>
      <c r="M79" s="337"/>
      <c r="N79" s="337"/>
      <c r="O79" s="337"/>
      <c r="P79" s="337"/>
      <c r="Q79" s="337"/>
      <c r="R79" s="337"/>
      <c r="S79" s="337"/>
      <c r="T79" s="19"/>
      <c r="U79" s="19"/>
      <c r="V79" s="19"/>
      <c r="W79" s="19"/>
      <c r="X79" s="19"/>
      <c r="Y79" s="19"/>
    </row>
    <row r="80" spans="1:25" s="130" customFormat="1" ht="15">
      <c r="A80" s="20"/>
      <c r="B80" s="337"/>
      <c r="C80" s="337"/>
      <c r="D80" s="337"/>
      <c r="F80" s="337"/>
      <c r="G80" s="337"/>
      <c r="H80" s="337"/>
      <c r="I80" s="337"/>
      <c r="J80" s="337"/>
      <c r="K80" s="337"/>
      <c r="L80" s="337"/>
      <c r="M80" s="337"/>
      <c r="N80" s="337"/>
      <c r="O80" s="337"/>
      <c r="P80" s="337"/>
      <c r="Q80" s="337"/>
      <c r="R80" s="337"/>
      <c r="S80" s="337"/>
      <c r="T80" s="19"/>
      <c r="U80" s="19"/>
      <c r="V80" s="19"/>
      <c r="W80" s="19"/>
      <c r="X80" s="19"/>
      <c r="Y80" s="19"/>
    </row>
    <row r="81" spans="1:25" s="130" customFormat="1" ht="15">
      <c r="A81" s="12" t="s">
        <v>202</v>
      </c>
      <c r="B81" s="337"/>
      <c r="C81" s="337"/>
      <c r="D81" s="337"/>
      <c r="E81" s="332" t="s">
        <v>335</v>
      </c>
      <c r="F81" s="337"/>
      <c r="G81" s="337"/>
      <c r="H81" s="337"/>
      <c r="I81" s="337"/>
      <c r="J81" s="337"/>
      <c r="K81" s="337"/>
      <c r="L81" s="337"/>
      <c r="M81" s="337"/>
      <c r="N81" s="337"/>
      <c r="O81" s="337"/>
      <c r="P81" s="337"/>
      <c r="Q81" s="337"/>
      <c r="R81" s="337"/>
      <c r="S81" s="337"/>
      <c r="T81" s="19"/>
      <c r="U81" s="19"/>
      <c r="V81" s="19"/>
      <c r="W81" s="19"/>
      <c r="X81" s="19"/>
      <c r="Y81" s="19"/>
    </row>
    <row r="82" spans="1:25" s="130" customFormat="1" ht="15">
      <c r="A82" s="12"/>
      <c r="B82" s="337"/>
      <c r="C82" s="337"/>
      <c r="D82" s="337"/>
      <c r="E82" s="332"/>
      <c r="F82" s="337"/>
      <c r="G82" s="337"/>
      <c r="H82" s="337"/>
      <c r="I82" s="337"/>
      <c r="J82" s="337"/>
      <c r="K82" s="337"/>
      <c r="L82" s="337"/>
      <c r="M82" s="337"/>
      <c r="N82" s="337"/>
      <c r="O82" s="337"/>
      <c r="P82" s="337"/>
      <c r="Q82" s="337"/>
      <c r="R82" s="337"/>
      <c r="S82" s="337"/>
      <c r="T82" s="19"/>
      <c r="U82" s="19"/>
      <c r="V82" s="19"/>
      <c r="W82" s="19"/>
      <c r="X82" s="19"/>
      <c r="Y82" s="19"/>
    </row>
    <row r="83" spans="1:25" s="130" customFormat="1" ht="15">
      <c r="A83" s="20" t="s">
        <v>358</v>
      </c>
      <c r="B83" s="337"/>
      <c r="C83" s="337"/>
      <c r="D83" s="337"/>
      <c r="E83" s="332" t="s">
        <v>361</v>
      </c>
      <c r="F83" s="337"/>
      <c r="G83" s="337"/>
      <c r="H83" s="337"/>
      <c r="I83" s="337"/>
      <c r="J83" s="337"/>
      <c r="K83" s="337"/>
      <c r="L83" s="337"/>
      <c r="M83" s="337"/>
      <c r="N83" s="337"/>
      <c r="O83" s="337"/>
      <c r="P83" s="337"/>
      <c r="Q83" s="337"/>
      <c r="R83" s="337"/>
      <c r="S83" s="337"/>
      <c r="T83" s="19"/>
      <c r="U83" s="19"/>
      <c r="V83" s="19"/>
      <c r="W83" s="19"/>
      <c r="X83" s="19"/>
      <c r="Y83" s="19"/>
    </row>
    <row r="84" spans="1:25" s="130" customFormat="1" ht="15">
      <c r="A84" s="20"/>
      <c r="B84" s="337"/>
      <c r="C84" s="337"/>
      <c r="D84" s="337"/>
      <c r="E84" s="332"/>
      <c r="F84" s="337"/>
      <c r="G84" s="337"/>
      <c r="H84" s="337"/>
      <c r="I84" s="337"/>
      <c r="J84" s="337"/>
      <c r="K84" s="337"/>
      <c r="L84" s="337"/>
      <c r="M84" s="337"/>
      <c r="N84" s="337"/>
      <c r="O84" s="337"/>
      <c r="P84" s="337"/>
      <c r="Q84" s="337"/>
      <c r="R84" s="337"/>
      <c r="S84" s="337"/>
      <c r="T84" s="19"/>
      <c r="U84" s="19"/>
      <c r="V84" s="19"/>
      <c r="W84" s="19"/>
      <c r="X84" s="19"/>
      <c r="Y84" s="19"/>
    </row>
    <row r="85" spans="1:25" s="130" customFormat="1" ht="15">
      <c r="A85" s="13" t="s">
        <v>193</v>
      </c>
      <c r="B85" s="341"/>
      <c r="C85" s="341"/>
      <c r="D85" s="341"/>
      <c r="E85" s="342" t="s">
        <v>336</v>
      </c>
      <c r="F85" s="341"/>
      <c r="G85" s="341"/>
      <c r="H85" s="341"/>
      <c r="I85" s="341"/>
      <c r="J85" s="341"/>
      <c r="K85" s="341"/>
      <c r="L85" s="341"/>
      <c r="M85" s="341"/>
      <c r="N85" s="341"/>
      <c r="O85" s="341"/>
      <c r="P85" s="341"/>
      <c r="Q85" s="341"/>
      <c r="R85" s="341"/>
      <c r="S85" s="337"/>
      <c r="T85" s="19"/>
      <c r="U85" s="19"/>
      <c r="V85" s="19"/>
      <c r="W85" s="19"/>
      <c r="X85" s="19"/>
      <c r="Y85" s="19"/>
    </row>
    <row r="86" spans="1:25" s="130" customFormat="1" ht="15">
      <c r="A86" s="20"/>
      <c r="B86" s="341"/>
      <c r="C86" s="341"/>
      <c r="D86" s="341"/>
      <c r="E86" s="136" t="s">
        <v>337</v>
      </c>
      <c r="F86" s="343"/>
      <c r="G86" s="344"/>
      <c r="H86" s="341"/>
      <c r="I86" s="345">
        <v>0.2</v>
      </c>
      <c r="J86" s="341"/>
      <c r="K86" s="341"/>
      <c r="L86" s="341"/>
      <c r="M86" s="341"/>
      <c r="N86" s="341"/>
      <c r="O86" s="341"/>
      <c r="P86" s="341"/>
      <c r="Q86" s="341"/>
      <c r="R86" s="341"/>
      <c r="S86" s="337"/>
      <c r="T86" s="19"/>
      <c r="U86" s="19"/>
      <c r="V86" s="19"/>
      <c r="W86" s="19"/>
      <c r="X86" s="19"/>
      <c r="Y86" s="19"/>
    </row>
    <row r="87" spans="1:25" s="130" customFormat="1" ht="15">
      <c r="A87" s="20"/>
      <c r="B87" s="341"/>
      <c r="C87" s="341"/>
      <c r="D87" s="341"/>
      <c r="E87" s="136" t="s">
        <v>338</v>
      </c>
      <c r="F87" s="343"/>
      <c r="G87" s="344"/>
      <c r="H87" s="341"/>
      <c r="I87" s="345">
        <v>0.4</v>
      </c>
      <c r="J87" s="341"/>
      <c r="K87" s="341"/>
      <c r="L87" s="341"/>
      <c r="M87" s="341"/>
      <c r="N87" s="341"/>
      <c r="O87" s="341"/>
      <c r="P87" s="341"/>
      <c r="Q87" s="341"/>
      <c r="R87" s="341"/>
      <c r="S87" s="337"/>
      <c r="T87" s="19"/>
      <c r="U87" s="19"/>
      <c r="V87" s="19"/>
      <c r="W87" s="19"/>
      <c r="X87" s="19"/>
      <c r="Y87" s="19"/>
    </row>
    <row r="88" spans="1:25" s="130" customFormat="1" ht="15">
      <c r="A88" s="20"/>
      <c r="B88" s="341"/>
      <c r="C88" s="341"/>
      <c r="D88" s="341"/>
      <c r="E88" s="342" t="s">
        <v>339</v>
      </c>
      <c r="F88" s="341"/>
      <c r="G88" s="341"/>
      <c r="H88" s="341"/>
      <c r="I88" s="345">
        <v>0.45</v>
      </c>
      <c r="J88" s="341"/>
      <c r="K88" s="341"/>
      <c r="L88" s="341"/>
      <c r="M88" s="341"/>
      <c r="N88" s="341"/>
      <c r="O88" s="341"/>
      <c r="P88" s="341"/>
      <c r="Q88" s="341"/>
      <c r="R88" s="341"/>
      <c r="S88" s="337"/>
      <c r="T88" s="19"/>
      <c r="U88" s="19"/>
      <c r="V88" s="19"/>
      <c r="W88" s="19"/>
      <c r="X88" s="19"/>
      <c r="Y88" s="19"/>
    </row>
    <row r="89" spans="1:25" s="130" customFormat="1" ht="15">
      <c r="A89" s="20"/>
      <c r="B89" s="341"/>
      <c r="C89" s="341"/>
      <c r="D89" s="341"/>
      <c r="E89" s="342"/>
      <c r="F89" s="341"/>
      <c r="G89" s="341"/>
      <c r="H89" s="341"/>
      <c r="I89" s="341"/>
      <c r="J89" s="341"/>
      <c r="K89" s="341"/>
      <c r="L89" s="341"/>
      <c r="M89" s="341"/>
      <c r="N89" s="341"/>
      <c r="O89" s="341"/>
      <c r="P89" s="341"/>
      <c r="Q89" s="341"/>
      <c r="R89" s="341"/>
      <c r="S89" s="337"/>
      <c r="T89" s="19"/>
      <c r="U89" s="19"/>
      <c r="V89" s="19"/>
      <c r="W89" s="19"/>
      <c r="X89" s="19"/>
      <c r="Y89" s="19"/>
    </row>
    <row r="90" spans="1:25" s="130" customFormat="1" ht="15">
      <c r="A90" s="20" t="s">
        <v>291</v>
      </c>
      <c r="B90" s="337"/>
      <c r="C90" s="337"/>
      <c r="D90" s="337"/>
      <c r="E90" s="332" t="s">
        <v>340</v>
      </c>
      <c r="F90" s="337"/>
      <c r="G90" s="337"/>
      <c r="H90" s="337"/>
      <c r="I90" s="337"/>
      <c r="J90" s="337"/>
      <c r="K90" s="337"/>
      <c r="L90" s="337"/>
      <c r="M90" s="337"/>
      <c r="N90" s="337"/>
      <c r="O90" s="337"/>
      <c r="P90" s="337"/>
      <c r="Q90" s="337"/>
      <c r="R90" s="337"/>
      <c r="S90" s="337"/>
      <c r="T90" s="19"/>
      <c r="U90" s="19"/>
      <c r="V90" s="19"/>
      <c r="W90" s="19"/>
      <c r="X90" s="19"/>
      <c r="Y90" s="19"/>
    </row>
    <row r="91" spans="1:25" s="130" customFormat="1" ht="15">
      <c r="A91" s="20"/>
      <c r="B91" s="337"/>
      <c r="C91" s="337"/>
      <c r="D91" s="337"/>
      <c r="E91" s="332"/>
      <c r="F91" s="337"/>
      <c r="G91" s="337"/>
      <c r="H91" s="337"/>
      <c r="I91" s="337"/>
      <c r="J91" s="337"/>
      <c r="K91" s="337"/>
      <c r="L91" s="337"/>
      <c r="M91" s="337"/>
      <c r="N91" s="337"/>
      <c r="O91" s="337"/>
      <c r="P91" s="337"/>
      <c r="Q91" s="337"/>
      <c r="R91" s="337"/>
      <c r="S91" s="337"/>
      <c r="T91" s="19"/>
      <c r="U91" s="19"/>
      <c r="V91" s="19"/>
      <c r="W91" s="19"/>
      <c r="X91" s="19"/>
      <c r="Y91" s="19"/>
    </row>
    <row r="92" spans="1:25" s="130" customFormat="1" ht="15">
      <c r="A92" s="20"/>
      <c r="B92" s="337"/>
      <c r="C92" s="337"/>
      <c r="D92" s="337"/>
      <c r="E92" s="136" t="s">
        <v>337</v>
      </c>
      <c r="F92" s="337"/>
      <c r="G92" s="337"/>
      <c r="H92" s="337"/>
      <c r="I92" s="345">
        <v>0.2</v>
      </c>
      <c r="K92" s="332" t="s">
        <v>341</v>
      </c>
      <c r="L92" s="337"/>
      <c r="M92" s="337"/>
      <c r="N92" s="337"/>
      <c r="O92" s="337"/>
      <c r="P92" s="337"/>
      <c r="Q92" s="337"/>
      <c r="R92" s="337"/>
      <c r="S92" s="337"/>
      <c r="T92" s="19"/>
      <c r="U92" s="19"/>
      <c r="V92" s="19"/>
      <c r="W92" s="19"/>
      <c r="X92" s="19"/>
      <c r="Y92" s="19"/>
    </row>
    <row r="93" spans="1:25" s="130" customFormat="1" ht="15">
      <c r="A93" s="20"/>
      <c r="B93" s="337"/>
      <c r="C93" s="337"/>
      <c r="D93" s="337"/>
      <c r="E93" s="136" t="s">
        <v>338</v>
      </c>
      <c r="F93" s="337"/>
      <c r="G93" s="337"/>
      <c r="H93" s="337"/>
      <c r="I93" s="345">
        <v>0.4</v>
      </c>
      <c r="K93" s="332" t="s">
        <v>342</v>
      </c>
      <c r="L93" s="337"/>
      <c r="M93" s="337"/>
      <c r="N93" s="337"/>
      <c r="O93" s="337"/>
      <c r="P93" s="337"/>
      <c r="Q93" s="337"/>
      <c r="R93" s="337"/>
      <c r="S93" s="337"/>
      <c r="T93" s="19"/>
      <c r="U93" s="19"/>
      <c r="V93" s="19"/>
      <c r="W93" s="19"/>
      <c r="X93" s="19"/>
      <c r="Y93" s="19"/>
    </row>
    <row r="94" spans="1:25" s="130" customFormat="1" ht="15">
      <c r="A94" s="20"/>
      <c r="B94" s="337"/>
      <c r="C94" s="337"/>
      <c r="D94" s="337"/>
      <c r="E94" s="342" t="s">
        <v>339</v>
      </c>
      <c r="F94" s="337"/>
      <c r="G94" s="337"/>
      <c r="H94" s="337"/>
      <c r="I94" s="345">
        <v>0.45</v>
      </c>
      <c r="K94" s="332" t="s">
        <v>342</v>
      </c>
      <c r="L94" s="337"/>
      <c r="M94" s="337"/>
      <c r="N94" s="337"/>
      <c r="O94" s="337"/>
      <c r="P94" s="337"/>
      <c r="Q94" s="337"/>
      <c r="R94" s="337"/>
      <c r="S94" s="337"/>
      <c r="T94" s="19"/>
      <c r="U94" s="19"/>
      <c r="V94" s="19"/>
      <c r="W94" s="19"/>
      <c r="X94" s="19"/>
      <c r="Y94" s="19"/>
    </row>
    <row r="95" spans="1:25" s="130" customFormat="1" ht="15">
      <c r="A95" s="20"/>
      <c r="B95" s="337"/>
      <c r="C95" s="337"/>
      <c r="D95" s="337"/>
      <c r="E95" s="332"/>
      <c r="F95" s="337"/>
      <c r="G95" s="337"/>
      <c r="H95" s="337"/>
      <c r="I95" s="337"/>
      <c r="J95" s="337"/>
      <c r="K95" s="337"/>
      <c r="L95" s="337"/>
      <c r="M95" s="337"/>
      <c r="N95" s="337"/>
      <c r="O95" s="337"/>
      <c r="P95" s="337"/>
      <c r="Q95" s="337"/>
      <c r="R95" s="337"/>
      <c r="S95" s="337"/>
      <c r="T95" s="19"/>
      <c r="U95" s="19"/>
      <c r="V95" s="19"/>
      <c r="W95" s="19"/>
      <c r="X95" s="19"/>
      <c r="Y95" s="19"/>
    </row>
    <row r="96" spans="1:25" s="130" customFormat="1" ht="15">
      <c r="A96" s="20" t="s">
        <v>207</v>
      </c>
      <c r="B96" s="337"/>
      <c r="C96" s="337"/>
      <c r="D96" s="337"/>
      <c r="E96" s="346" t="s">
        <v>343</v>
      </c>
      <c r="F96" s="337"/>
      <c r="G96" s="337"/>
      <c r="H96" s="337"/>
      <c r="I96" s="337"/>
      <c r="J96" s="337"/>
      <c r="K96" s="337"/>
      <c r="L96" s="337"/>
      <c r="M96" s="337"/>
      <c r="N96" s="337"/>
      <c r="O96" s="337"/>
      <c r="P96" s="337"/>
      <c r="Q96" s="337"/>
      <c r="R96" s="337"/>
      <c r="S96" s="337"/>
      <c r="T96" s="19"/>
      <c r="U96" s="19"/>
      <c r="V96" s="19"/>
      <c r="W96" s="19"/>
      <c r="X96" s="19"/>
      <c r="Y96" s="19"/>
    </row>
    <row r="97" spans="1:25" s="130" customFormat="1" ht="15">
      <c r="A97" s="20"/>
      <c r="B97" s="337"/>
      <c r="C97" s="337"/>
      <c r="D97" s="337"/>
      <c r="E97" s="346"/>
      <c r="F97" s="337"/>
      <c r="G97" s="337"/>
      <c r="H97" s="337"/>
      <c r="I97" s="337"/>
      <c r="J97" s="337"/>
      <c r="K97" s="337"/>
      <c r="L97" s="337"/>
      <c r="M97" s="337"/>
      <c r="N97" s="337"/>
      <c r="O97" s="337"/>
      <c r="P97" s="337"/>
      <c r="Q97" s="337"/>
      <c r="R97" s="337"/>
      <c r="S97" s="337"/>
      <c r="T97" s="19"/>
      <c r="U97" s="19"/>
      <c r="V97" s="19"/>
      <c r="W97" s="19"/>
      <c r="X97" s="19"/>
      <c r="Y97" s="19"/>
    </row>
    <row r="98" spans="1:25" s="130" customFormat="1" ht="15">
      <c r="A98" s="20"/>
      <c r="B98" s="337"/>
      <c r="C98" s="337"/>
      <c r="D98" s="337"/>
      <c r="E98" s="332" t="s">
        <v>344</v>
      </c>
      <c r="F98" s="337"/>
      <c r="G98" s="337"/>
      <c r="H98" s="337"/>
      <c r="I98" s="337"/>
      <c r="J98" s="337"/>
      <c r="K98" s="337"/>
      <c r="L98" s="337"/>
      <c r="M98" s="337"/>
      <c r="N98" s="337"/>
      <c r="O98" s="337"/>
      <c r="P98" s="337"/>
      <c r="Q98" s="337"/>
      <c r="R98" s="337"/>
      <c r="S98" s="337"/>
      <c r="T98" s="19"/>
      <c r="U98" s="19"/>
      <c r="V98" s="19"/>
      <c r="W98" s="19"/>
      <c r="X98" s="19"/>
      <c r="Y98" s="19"/>
    </row>
    <row r="99" spans="1:25" s="130" customFormat="1" ht="15">
      <c r="A99" s="20"/>
      <c r="B99" s="337"/>
      <c r="C99" s="337"/>
      <c r="D99" s="337"/>
      <c r="E99" s="332" t="s">
        <v>345</v>
      </c>
      <c r="F99" s="337"/>
      <c r="G99" s="337"/>
      <c r="H99" s="337"/>
      <c r="I99" s="337"/>
      <c r="J99" s="337"/>
      <c r="K99" s="337"/>
      <c r="L99" s="337"/>
      <c r="M99" s="337"/>
      <c r="N99" s="337"/>
      <c r="O99" s="337"/>
      <c r="P99" s="337"/>
      <c r="Q99" s="337"/>
      <c r="R99" s="337"/>
      <c r="S99" s="12" t="s">
        <v>32</v>
      </c>
      <c r="T99" s="19"/>
      <c r="U99" s="19"/>
      <c r="V99" s="19"/>
      <c r="W99" s="19"/>
      <c r="X99" s="19"/>
      <c r="Y99" s="19"/>
    </row>
    <row r="100" spans="1:25" s="130" customFormat="1" ht="15">
      <c r="A100" s="20"/>
      <c r="B100" s="337"/>
      <c r="C100" s="337"/>
      <c r="D100" s="337"/>
      <c r="E100" s="332"/>
      <c r="F100" s="337"/>
      <c r="G100" s="337"/>
      <c r="H100" s="337"/>
      <c r="I100" s="337"/>
      <c r="J100" s="337"/>
      <c r="K100" s="337"/>
      <c r="L100" s="337"/>
      <c r="M100" s="337"/>
      <c r="N100" s="337"/>
      <c r="O100" s="337"/>
      <c r="P100" s="337"/>
      <c r="Q100" s="337"/>
      <c r="R100" s="337"/>
      <c r="S100" s="337"/>
      <c r="T100" s="19"/>
      <c r="U100" s="19"/>
      <c r="V100" s="19"/>
      <c r="W100" s="19"/>
      <c r="X100" s="19"/>
      <c r="Y100" s="19"/>
    </row>
    <row r="101" spans="1:25" s="130" customFormat="1" ht="15">
      <c r="A101" s="20"/>
      <c r="B101" s="337"/>
      <c r="C101" s="337"/>
      <c r="D101" s="337"/>
      <c r="E101" s="332" t="s">
        <v>346</v>
      </c>
      <c r="F101" s="337"/>
      <c r="G101" s="337"/>
      <c r="H101" s="337"/>
      <c r="I101" s="337"/>
      <c r="J101" s="337"/>
      <c r="K101" s="337"/>
      <c r="L101" s="337"/>
      <c r="M101" s="337"/>
      <c r="N101" s="337"/>
      <c r="O101" s="337"/>
      <c r="P101" s="337"/>
      <c r="Q101" s="337"/>
      <c r="R101" s="337"/>
      <c r="S101" s="337"/>
      <c r="T101" s="19"/>
      <c r="U101" s="19"/>
      <c r="V101" s="19"/>
      <c r="W101" s="19"/>
      <c r="X101" s="19"/>
      <c r="Y101" s="19"/>
    </row>
    <row r="102" spans="1:25" s="130" customFormat="1" ht="15">
      <c r="A102" s="20"/>
      <c r="B102" s="337"/>
      <c r="C102" s="337"/>
      <c r="D102" s="337"/>
      <c r="E102" s="332"/>
      <c r="F102" s="337"/>
      <c r="G102" s="337"/>
      <c r="H102" s="337"/>
      <c r="I102" s="337"/>
      <c r="J102" s="337"/>
      <c r="K102" s="337"/>
      <c r="L102" s="337"/>
      <c r="M102" s="337"/>
      <c r="N102" s="337"/>
      <c r="O102" s="337"/>
      <c r="P102" s="337"/>
      <c r="Q102" s="337"/>
      <c r="R102" s="337"/>
      <c r="S102" s="337"/>
      <c r="T102" s="19"/>
      <c r="U102" s="19"/>
      <c r="V102" s="19"/>
      <c r="W102" s="19"/>
      <c r="X102" s="19"/>
      <c r="Y102" s="19"/>
    </row>
    <row r="103" spans="1:25" s="130" customFormat="1" ht="15">
      <c r="A103" s="20" t="s">
        <v>347</v>
      </c>
      <c r="B103" s="337"/>
      <c r="C103" s="337"/>
      <c r="D103" s="337"/>
      <c r="E103" s="332"/>
      <c r="F103" s="337"/>
      <c r="G103" s="337"/>
      <c r="H103" s="337"/>
      <c r="I103" s="337"/>
      <c r="J103" s="337"/>
      <c r="K103" s="337"/>
      <c r="L103" s="337"/>
      <c r="M103" s="337"/>
      <c r="N103" s="337"/>
      <c r="O103" s="337"/>
      <c r="P103" s="337"/>
      <c r="Q103" s="337"/>
      <c r="R103" s="337"/>
      <c r="S103" s="337"/>
      <c r="T103" s="19"/>
      <c r="U103" s="19"/>
      <c r="V103" s="19"/>
      <c r="W103" s="19"/>
      <c r="X103" s="19"/>
      <c r="Y103" s="19"/>
    </row>
    <row r="104" spans="1:25" s="130" customFormat="1" ht="15">
      <c r="A104" s="20"/>
      <c r="B104" s="337"/>
      <c r="C104" s="337"/>
      <c r="D104" s="337"/>
      <c r="E104" s="332"/>
      <c r="F104" s="337"/>
      <c r="G104" s="337"/>
      <c r="H104" s="337"/>
      <c r="I104" s="337"/>
      <c r="J104" s="337"/>
      <c r="K104" s="337"/>
      <c r="L104" s="337"/>
      <c r="M104" s="337"/>
      <c r="N104" s="337"/>
      <c r="O104" s="337"/>
      <c r="P104" s="337"/>
      <c r="Q104" s="337"/>
      <c r="R104" s="337"/>
      <c r="S104" s="337"/>
      <c r="T104" s="19"/>
      <c r="U104" s="19"/>
      <c r="V104" s="19"/>
      <c r="W104" s="19"/>
      <c r="X104" s="19"/>
      <c r="Y104" s="19"/>
    </row>
    <row r="105" spans="1:25" s="130" customFormat="1" ht="15">
      <c r="A105" s="20"/>
      <c r="B105" s="337"/>
      <c r="C105" s="337"/>
      <c r="D105" s="337"/>
      <c r="E105" s="346" t="s">
        <v>348</v>
      </c>
      <c r="F105" s="337"/>
      <c r="G105" s="337"/>
      <c r="H105" s="337"/>
      <c r="I105" s="337"/>
      <c r="J105" s="337"/>
      <c r="K105" s="337"/>
      <c r="L105" s="337"/>
      <c r="M105" s="337"/>
      <c r="N105" s="337"/>
      <c r="O105" s="337"/>
      <c r="P105" s="337"/>
      <c r="Q105" s="337"/>
      <c r="R105" s="337"/>
      <c r="S105" s="337"/>
      <c r="T105" s="19"/>
      <c r="U105" s="19"/>
      <c r="V105" s="19"/>
      <c r="W105" s="19"/>
      <c r="X105" s="19"/>
      <c r="Y105" s="19"/>
    </row>
    <row r="106" spans="1:25" s="130" customFormat="1" ht="15">
      <c r="A106" s="20"/>
      <c r="B106" s="337"/>
      <c r="C106" s="337"/>
      <c r="D106" s="337"/>
      <c r="E106" s="346"/>
      <c r="F106" s="337"/>
      <c r="G106" s="337"/>
      <c r="H106" s="337"/>
      <c r="I106" s="337"/>
      <c r="J106" s="337"/>
      <c r="K106" s="337"/>
      <c r="L106" s="337"/>
      <c r="M106" s="337"/>
      <c r="N106" s="337"/>
      <c r="O106" s="337"/>
      <c r="P106" s="337"/>
      <c r="Q106" s="337"/>
      <c r="R106" s="337"/>
      <c r="S106" s="337"/>
      <c r="T106" s="19"/>
      <c r="U106" s="19"/>
      <c r="V106" s="19"/>
      <c r="W106" s="19"/>
      <c r="X106" s="19"/>
      <c r="Y106" s="19"/>
    </row>
    <row r="107" spans="1:25" s="130" customFormat="1" ht="15">
      <c r="A107" s="20"/>
      <c r="B107" s="337"/>
      <c r="C107" s="337"/>
      <c r="D107" s="337"/>
      <c r="E107" s="332" t="s">
        <v>344</v>
      </c>
      <c r="F107" s="337"/>
      <c r="G107" s="337"/>
      <c r="H107" s="337"/>
      <c r="I107" s="337"/>
      <c r="J107" s="337"/>
      <c r="K107" s="337"/>
      <c r="L107" s="337"/>
      <c r="M107" s="337"/>
      <c r="N107" s="337"/>
      <c r="O107" s="337"/>
      <c r="P107" s="337"/>
      <c r="Q107" s="337"/>
      <c r="R107" s="337"/>
      <c r="S107" s="337"/>
      <c r="T107" s="19"/>
      <c r="U107" s="19"/>
      <c r="V107" s="19"/>
      <c r="W107" s="19"/>
      <c r="X107" s="19"/>
      <c r="Y107" s="19"/>
    </row>
    <row r="108" spans="1:25" s="130" customFormat="1" ht="15">
      <c r="A108" s="20"/>
      <c r="B108" s="337"/>
      <c r="C108" s="337"/>
      <c r="D108" s="337"/>
      <c r="E108" s="332" t="s">
        <v>345</v>
      </c>
      <c r="F108" s="337"/>
      <c r="G108" s="337"/>
      <c r="H108" s="337"/>
      <c r="I108" s="337"/>
      <c r="J108" s="337"/>
      <c r="K108" s="337"/>
      <c r="L108" s="337"/>
      <c r="M108" s="337"/>
      <c r="N108" s="337"/>
      <c r="O108" s="337"/>
      <c r="P108" s="337"/>
      <c r="Q108" s="337"/>
      <c r="R108" s="337"/>
      <c r="S108" s="337"/>
      <c r="T108" s="19"/>
      <c r="U108" s="19"/>
      <c r="V108" s="19"/>
      <c r="W108" s="19"/>
      <c r="X108" s="19"/>
      <c r="Y108" s="19"/>
    </row>
    <row r="109" spans="1:25" s="130" customFormat="1" ht="15">
      <c r="A109" s="20"/>
      <c r="B109" s="337"/>
      <c r="C109" s="337"/>
      <c r="D109" s="337"/>
      <c r="E109" s="332"/>
      <c r="F109" s="337"/>
      <c r="G109" s="337"/>
      <c r="H109" s="337"/>
      <c r="I109" s="337"/>
      <c r="J109" s="337"/>
      <c r="K109" s="337"/>
      <c r="L109" s="337"/>
      <c r="M109" s="337"/>
      <c r="N109" s="337"/>
      <c r="O109" s="337"/>
      <c r="P109" s="337"/>
      <c r="Q109" s="337"/>
      <c r="R109" s="337"/>
      <c r="S109" s="337"/>
      <c r="T109" s="19"/>
      <c r="U109" s="19"/>
      <c r="V109" s="19"/>
      <c r="W109" s="19"/>
      <c r="X109" s="19"/>
      <c r="Y109" s="19"/>
    </row>
    <row r="110" spans="1:25" s="130" customFormat="1" ht="15">
      <c r="A110" s="20"/>
      <c r="B110" s="337"/>
      <c r="C110" s="337"/>
      <c r="D110" s="337"/>
      <c r="E110" s="332" t="s">
        <v>349</v>
      </c>
      <c r="F110" s="337"/>
      <c r="G110" s="337"/>
      <c r="H110" s="337"/>
      <c r="I110" s="337"/>
      <c r="J110" s="337"/>
      <c r="K110" s="337"/>
      <c r="L110" s="337"/>
      <c r="M110" s="337"/>
      <c r="N110" s="337"/>
      <c r="O110" s="337"/>
      <c r="P110" s="337"/>
      <c r="Q110" s="337"/>
      <c r="R110" s="337"/>
      <c r="S110" s="337"/>
      <c r="T110" s="19"/>
      <c r="U110" s="19"/>
      <c r="V110" s="19"/>
      <c r="W110" s="19"/>
      <c r="X110" s="19"/>
      <c r="Y110" s="19"/>
    </row>
    <row r="111" spans="1:19" ht="15">
      <c r="A111" s="335"/>
      <c r="B111" s="337"/>
      <c r="C111" s="337"/>
      <c r="D111" s="337"/>
      <c r="E111" s="332"/>
      <c r="F111" s="337"/>
      <c r="G111" s="337"/>
      <c r="H111" s="337"/>
      <c r="I111" s="337"/>
      <c r="J111" s="337"/>
      <c r="K111" s="337"/>
      <c r="L111" s="337"/>
      <c r="M111" s="337"/>
      <c r="N111" s="337"/>
      <c r="O111" s="337"/>
      <c r="P111" s="337"/>
      <c r="Q111" s="337"/>
      <c r="R111" s="337"/>
      <c r="S111" s="337"/>
    </row>
    <row r="112" spans="1:19" ht="15">
      <c r="A112" s="20" t="s">
        <v>213</v>
      </c>
      <c r="B112" s="337"/>
      <c r="C112" s="337"/>
      <c r="D112" s="337"/>
      <c r="E112" s="332" t="s">
        <v>315</v>
      </c>
      <c r="F112" s="337"/>
      <c r="G112" s="337"/>
      <c r="H112" s="337"/>
      <c r="I112" s="337"/>
      <c r="J112" s="337"/>
      <c r="K112" s="337"/>
      <c r="L112" s="337"/>
      <c r="M112" s="337"/>
      <c r="N112" s="337"/>
      <c r="O112" s="337"/>
      <c r="P112" s="337"/>
      <c r="Q112" s="337"/>
      <c r="R112" s="337"/>
      <c r="S112" s="337"/>
    </row>
    <row r="113" spans="1:19" ht="15">
      <c r="A113" s="334"/>
      <c r="B113" s="337"/>
      <c r="C113" s="337"/>
      <c r="D113" s="337"/>
      <c r="E113" s="332"/>
      <c r="F113" s="337"/>
      <c r="G113" s="337"/>
      <c r="H113" s="337"/>
      <c r="I113" s="337"/>
      <c r="J113" s="337"/>
      <c r="K113" s="337"/>
      <c r="L113" s="337"/>
      <c r="M113" s="337"/>
      <c r="N113" s="337"/>
      <c r="O113" s="337"/>
      <c r="P113" s="337"/>
      <c r="Q113" s="337"/>
      <c r="R113" s="337"/>
      <c r="S113" s="337"/>
    </row>
    <row r="114" spans="1:19" ht="15">
      <c r="A114" s="347" t="s">
        <v>191</v>
      </c>
      <c r="B114" s="337"/>
      <c r="C114" s="337"/>
      <c r="D114" s="337"/>
      <c r="E114" s="332" t="s">
        <v>314</v>
      </c>
      <c r="F114" s="337"/>
      <c r="G114" s="337"/>
      <c r="H114" s="337"/>
      <c r="I114" s="337"/>
      <c r="J114" s="337"/>
      <c r="K114" s="337"/>
      <c r="L114" s="337"/>
      <c r="M114" s="337"/>
      <c r="N114" s="337"/>
      <c r="O114" s="337"/>
      <c r="P114" s="337"/>
      <c r="Q114" s="337"/>
      <c r="R114" s="337"/>
      <c r="S114" s="337"/>
    </row>
    <row r="115" spans="1:19" ht="15">
      <c r="A115" s="20"/>
      <c r="B115" s="337"/>
      <c r="C115" s="337"/>
      <c r="D115" s="337"/>
      <c r="E115" s="332"/>
      <c r="F115" s="337"/>
      <c r="G115" s="337"/>
      <c r="H115" s="337"/>
      <c r="I115" s="337"/>
      <c r="J115" s="337"/>
      <c r="K115" s="337"/>
      <c r="L115" s="337"/>
      <c r="M115" s="337"/>
      <c r="N115" s="337"/>
      <c r="O115" s="337"/>
      <c r="P115" s="337"/>
      <c r="Q115" s="337"/>
      <c r="R115" s="337"/>
      <c r="S115" s="337"/>
    </row>
    <row r="116" spans="1:25" s="130" customFormat="1" ht="15">
      <c r="A116" s="12" t="s">
        <v>332</v>
      </c>
      <c r="B116" s="337"/>
      <c r="C116" s="337"/>
      <c r="D116" s="337"/>
      <c r="E116" s="332" t="s">
        <v>350</v>
      </c>
      <c r="F116" s="337"/>
      <c r="G116" s="337"/>
      <c r="H116" s="337"/>
      <c r="I116" s="337"/>
      <c r="J116" s="337"/>
      <c r="K116" s="337"/>
      <c r="L116" s="337"/>
      <c r="M116" s="337"/>
      <c r="N116" s="337"/>
      <c r="O116" s="337"/>
      <c r="P116" s="337"/>
      <c r="Q116" s="337"/>
      <c r="R116" s="337"/>
      <c r="S116" s="337"/>
      <c r="T116" s="19"/>
      <c r="U116" s="19"/>
      <c r="V116" s="19"/>
      <c r="W116" s="19"/>
      <c r="X116" s="19"/>
      <c r="Y116" s="19"/>
    </row>
    <row r="117" spans="1:19" ht="15">
      <c r="A117" s="20"/>
      <c r="B117" s="337"/>
      <c r="C117" s="337"/>
      <c r="D117" s="337"/>
      <c r="E117" s="332"/>
      <c r="F117" s="337"/>
      <c r="G117" s="337"/>
      <c r="H117" s="337"/>
      <c r="I117" s="337"/>
      <c r="J117" s="337"/>
      <c r="K117" s="337"/>
      <c r="L117" s="337"/>
      <c r="M117" s="337"/>
      <c r="N117" s="337"/>
      <c r="O117" s="337"/>
      <c r="P117" s="337"/>
      <c r="Q117" s="337"/>
      <c r="R117" s="337"/>
      <c r="S117" s="337"/>
    </row>
    <row r="118" spans="1:19" ht="15">
      <c r="A118" s="348" t="s">
        <v>351</v>
      </c>
      <c r="B118" s="337"/>
      <c r="C118" s="337"/>
      <c r="D118" s="337"/>
      <c r="E118" s="332"/>
      <c r="F118" s="337"/>
      <c r="G118" s="337"/>
      <c r="H118" s="337"/>
      <c r="I118" s="337"/>
      <c r="J118" s="337"/>
      <c r="K118" s="337"/>
      <c r="L118" s="337"/>
      <c r="M118" s="337"/>
      <c r="N118" s="337"/>
      <c r="O118" s="337"/>
      <c r="P118" s="337"/>
      <c r="Q118" s="337"/>
      <c r="R118" s="337"/>
      <c r="S118" s="337"/>
    </row>
    <row r="120" spans="1:19" ht="15">
      <c r="A120" s="335"/>
      <c r="B120" s="337"/>
      <c r="C120" s="337"/>
      <c r="D120" s="337"/>
      <c r="I120" s="337"/>
      <c r="J120" s="337"/>
      <c r="K120" s="337"/>
      <c r="L120" s="337"/>
      <c r="M120" s="337"/>
      <c r="N120" s="337"/>
      <c r="O120" s="337"/>
      <c r="P120" s="337"/>
      <c r="Q120" s="337"/>
      <c r="R120" s="337"/>
      <c r="S120" s="337"/>
    </row>
    <row r="121" spans="1:19" ht="12.75">
      <c r="A121" s="337"/>
      <c r="B121" s="337"/>
      <c r="C121" s="337"/>
      <c r="D121" s="337"/>
      <c r="E121" s="337"/>
      <c r="F121" s="337"/>
      <c r="G121" s="337"/>
      <c r="H121" s="337"/>
      <c r="I121" s="337"/>
      <c r="J121" s="337"/>
      <c r="K121" s="337"/>
      <c r="L121" s="337"/>
      <c r="M121" s="337"/>
      <c r="N121" s="337"/>
      <c r="O121" s="337"/>
      <c r="P121" s="337"/>
      <c r="Q121" s="337"/>
      <c r="R121" s="337"/>
      <c r="S121" s="337"/>
    </row>
  </sheetData>
  <sheetProtection password="CC64"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Skipton Building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lou00059</dc:creator>
  <cp:keywords/>
  <dc:description/>
  <cp:lastModifiedBy>Ashley Pearson</cp:lastModifiedBy>
  <cp:lastPrinted>2020-03-18T11:16:25Z</cp:lastPrinted>
  <dcterms:created xsi:type="dcterms:W3CDTF">2008-04-01T11:18:00Z</dcterms:created>
  <dcterms:modified xsi:type="dcterms:W3CDTF">2020-08-19T15:39:33Z</dcterms:modified>
  <cp:category/>
  <cp:version/>
  <cp:contentType/>
  <cp:contentStatus/>
</cp:coreProperties>
</file>